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480" windowHeight="9645" tabRatio="606" activeTab="4"/>
  </bookViews>
  <sheets>
    <sheet name="Echéancier prévisionnel" sheetId="1" r:id="rId1"/>
    <sheet name="Phase1 et actualisations" sheetId="2" r:id="rId2"/>
    <sheet name="COMMENTAIRES" sheetId="3" r:id="rId3"/>
    <sheet name="JUSTIFICATIF ALEAS" sheetId="4" r:id="rId4"/>
    <sheet name="jUSTIFICATIF REVISION" sheetId="5" r:id="rId5"/>
  </sheets>
  <definedNames>
    <definedName name="_xlnm.Print_Titles" localSheetId="0">'Echéancier prévisionnel'!$1:$1</definedName>
  </definedNames>
  <calcPr fullCalcOnLoad="1"/>
</workbook>
</file>

<file path=xl/sharedStrings.xml><?xml version="1.0" encoding="utf-8"?>
<sst xmlns="http://schemas.openxmlformats.org/spreadsheetml/2006/main" count="166" uniqueCount="152">
  <si>
    <t>- coordination logistique des opérations de transfert</t>
  </si>
  <si>
    <t>TOTAL</t>
  </si>
  <si>
    <t>Relevés et diagnostics complémentaires:</t>
  </si>
  <si>
    <t>Travaux</t>
  </si>
  <si>
    <t>Aléas</t>
  </si>
  <si>
    <t>- 65 rue de Richelieu</t>
  </si>
  <si>
    <t>TOTAL TTC (révisions comprises)</t>
  </si>
  <si>
    <t xml:space="preserve">Marché de maîtrise d'œuvre </t>
  </si>
  <si>
    <t>Frais de maîtrise d'ouvrage</t>
  </si>
  <si>
    <t>Marchés d'assistance à maîtrise d'ouvrage (AMO)</t>
  </si>
  <si>
    <t>Sous-total MOE</t>
  </si>
  <si>
    <t>Sous-total MOA</t>
  </si>
  <si>
    <t>Sous-total Travaux</t>
  </si>
  <si>
    <t>Marché de maîtrise d'œuvre Gaudin (TC3)</t>
  </si>
  <si>
    <t>BT 01 Juin 2009</t>
  </si>
  <si>
    <t>BT 01 Juin 2010</t>
  </si>
  <si>
    <t>BT 01 Juin 2011</t>
  </si>
  <si>
    <t>BT 01 Juin 2012</t>
  </si>
  <si>
    <t>Valeur BT</t>
  </si>
  <si>
    <t>Pourcentage</t>
  </si>
  <si>
    <t xml:space="preserve">Besoins en CP Clos couvert phase 1 </t>
  </si>
  <si>
    <t xml:space="preserve">Besoins en CP Façades phase 1 </t>
  </si>
  <si>
    <t>Avenant 5 convention de mandat</t>
  </si>
  <si>
    <t>Besoins en CP Aménagements phase 1 (avenant 1)</t>
  </si>
  <si>
    <t>Avenant 2 convention de mandat</t>
  </si>
  <si>
    <t>Avenant 4 convention de mandat (compris muséo)</t>
  </si>
  <si>
    <t>Sous total Aménagements</t>
  </si>
  <si>
    <t>TOTAL convention (hors études façades)</t>
  </si>
  <si>
    <t>- installations prov zone 1 et travaux préparatoires</t>
  </si>
  <si>
    <t xml:space="preserve">  restauration des façades sur rues phase 1</t>
  </si>
  <si>
    <t>- contrôle technique Façades</t>
  </si>
  <si>
    <t>- coordination santé-sécurité façades</t>
  </si>
  <si>
    <t>- ordonnancement, pilotage, coordination Façades</t>
  </si>
  <si>
    <t>Raccordement Climespace et CPCU</t>
  </si>
  <si>
    <t>Marché de maîtrise d'œuvre Gaudin (TF+TC1+TC2)</t>
  </si>
  <si>
    <t>Reste à régler hors révision</t>
  </si>
  <si>
    <t xml:space="preserve">  travaux préparatoires phase 1</t>
  </si>
  <si>
    <t>Réglé au 31/10/12 compris révisions</t>
  </si>
  <si>
    <t>- contrôle technique Aménagements (TF+TC1+TC2)</t>
  </si>
  <si>
    <t>- coordination santé-sécurité Aménagements (TF+TC1+TC2)</t>
  </si>
  <si>
    <t>Marché comp clos couvert  Gaudin (TF+TC1)</t>
  </si>
  <si>
    <t>Marché comp clos couvert  Gaudin (TC2)</t>
  </si>
  <si>
    <t>- coordination santé-sécurité Aménagements (TC3)</t>
  </si>
  <si>
    <t>- ordonnancement, pilotage, coordination Aménagements (TC3)</t>
  </si>
  <si>
    <t>- contrôle technique Aménagements (TC3)</t>
  </si>
  <si>
    <t>- maintenance et respect de l'environnement (TC3)</t>
  </si>
  <si>
    <t>- contrôle technique Clos couvert (TC2)</t>
  </si>
  <si>
    <t>- coordination santé-sécurité Clos couvert (TC2)</t>
  </si>
  <si>
    <t>- coordination santé-sécurité Clos couvert (TF+TC1)</t>
  </si>
  <si>
    <t>- ordonnancement, pilotage, coordination Clos couvert (TC2)</t>
  </si>
  <si>
    <t>- ordonnancement, pilotage, coordination Clos couvert (TF+TC1)</t>
  </si>
  <si>
    <t>- ordonnancement, pilotage,coordination Aménagements (TF+TC1+TC2)</t>
  </si>
  <si>
    <t>Marché de maîtrise d'œuvre MH + étude préalable Labrouste</t>
  </si>
  <si>
    <t>Climespace Louvois</t>
  </si>
  <si>
    <t>- contrôle technique Clos couvert (TF+TC1)</t>
  </si>
  <si>
    <t>- maintenance et respect de l'environnement avenant 1</t>
  </si>
  <si>
    <t>- maintenance et respect de l'environnement  (TF+TC1+TC2)</t>
  </si>
  <si>
    <t>Avenant MH Menuiseries R de Cotte</t>
  </si>
  <si>
    <t>Marché de maîtrise d'œuvre 65 Richelieu (compris avenant)</t>
  </si>
  <si>
    <t>AMO 65 Richelieu + diag + relevés + sondages</t>
  </si>
  <si>
    <t>Provision pour frais de publication et reprographie: (EP)</t>
  </si>
  <si>
    <t>Montants à engager phase 2</t>
  </si>
  <si>
    <t>- principaux zone 1 sous Moe B.Gaudin et MH</t>
  </si>
  <si>
    <t>Divers diag / relevés et commandes diverses 58 Richelieu</t>
  </si>
  <si>
    <t>Assurance TRC / RC et CCRD  (compris conseil Gras Savoye)</t>
  </si>
  <si>
    <t>Divers programmation / relevés / études préalables diverses CSTB</t>
  </si>
  <si>
    <t>Désamiantage nettoyage extincteurs (dont Planete service)</t>
  </si>
  <si>
    <t>Marché comp façades  Gaudin (TF+TC1)  Conv spécifique</t>
  </si>
  <si>
    <t>Sous-total AMO</t>
  </si>
  <si>
    <t>Révisions engagées non mandatées</t>
  </si>
  <si>
    <t>Aléas engagés non mandatés</t>
  </si>
  <si>
    <t>Vérification total engagé</t>
  </si>
  <si>
    <t>Etudes à régler phase 2 jusqu'à ACT</t>
  </si>
  <si>
    <t>Actualisation entre Dec 2002 et Juillet 2012 (875,1/621,5)</t>
  </si>
  <si>
    <t>Actualisation nécessaire sur restant à payer:</t>
  </si>
  <si>
    <t>Actualisation marchés: base Nov 2010 ; barycentre initial par rapport à l'avenant n°1 à la convention de mandat initiale Oct 2012</t>
  </si>
  <si>
    <t>Estimation Oct 2012: BT01 Juil 2012 X 1,01 = 875,1 x 1,01= 883</t>
  </si>
  <si>
    <t>Rappel BT 01 Nov 2010: 830,6 et BT 01 Juil 2012 : 875,1</t>
  </si>
  <si>
    <t>Actualisation marchés: 883/830,6</t>
  </si>
  <si>
    <t>TOTAL VENTILATION</t>
  </si>
  <si>
    <t>Estimation sur 10 ans : Dec 2012 / Dec 2002</t>
  </si>
  <si>
    <t xml:space="preserve">Soit 3,6 % par an </t>
  </si>
  <si>
    <t>Coefficient de révision (base calculée ci-dessous : 3,6 % par an)</t>
  </si>
  <si>
    <t>Complément révisions suivant calcul ci-dessous</t>
  </si>
  <si>
    <t>Montant phase 1</t>
  </si>
  <si>
    <t>Montant engagé</t>
  </si>
  <si>
    <t>Complément révisions</t>
  </si>
  <si>
    <t>Climespace</t>
  </si>
  <si>
    <t>Total</t>
  </si>
  <si>
    <t>Calcul disponible pour engagement aléas complémentaires :</t>
  </si>
  <si>
    <t>Complément aléas</t>
  </si>
  <si>
    <t xml:space="preserve">Sous total Aléas et travaux désamiantage </t>
  </si>
  <si>
    <t>Total provisionné pour révisions</t>
  </si>
  <si>
    <t>Provision complémentaire pour révisions</t>
  </si>
  <si>
    <t xml:space="preserve">Nettoyage plomb total </t>
  </si>
  <si>
    <t>Arrondi</t>
  </si>
  <si>
    <t>TOTAL GENERAL MANDATEMENTS COMPRIS</t>
  </si>
  <si>
    <t>Total à régler révisions comprises</t>
  </si>
  <si>
    <t>TOTAL REVISIONS</t>
  </si>
  <si>
    <t>Vérif montant phase 1</t>
  </si>
  <si>
    <t>COMPLEMENT DE REVISIONS NECESSAIRES</t>
  </si>
  <si>
    <t>Pour mémoire, rappel des coefficients d'actualisation utilisés lors de l'élaboration de l'avenant n°1 à la convention de mandat, base: 4% l'an</t>
  </si>
  <si>
    <t>BT 01  Dec 2002</t>
  </si>
  <si>
    <t>CALCUL SUIVANT INDICES CONNUS</t>
  </si>
  <si>
    <t>ACTUALISATIONS</t>
  </si>
  <si>
    <t>Rappel avenant 1</t>
  </si>
  <si>
    <t>Calcul PM coef puissance n</t>
  </si>
  <si>
    <t>A noter que ce résultat est différent de ce que nous obtiendrions en calculant à 4% depuis Dec avec la méthode coef retenu puissance n car le passage à 4% s'est fait à partir de 2009, avant nous étions à 2,5%</t>
  </si>
  <si>
    <t>Montant phase1</t>
  </si>
  <si>
    <t>Commentaires sur les tableaux</t>
  </si>
  <si>
    <t>La provision pour actualisation complémentaire qui serait nécessaire est faible : 755.545€ TTC</t>
  </si>
  <si>
    <t>L'échéancier des paiements a été construit sur les bases de consommations qui sont données par le rythme des travaux, du moins on l'espère ainsi:</t>
  </si>
  <si>
    <t>Pour le 58 : 35% en 2013 ; 35% en 2014 et 30% en 2015</t>
  </si>
  <si>
    <t>Pour les études de phase 2 : même rythme que les travaux 58, pour un montant de toutes façons faible par rapport au reste</t>
  </si>
  <si>
    <t>barycentre des travaux suivant avenant 1 : 1.303.936€, cela donnerait ainsi 2.059.481€ arrondi à 2M€</t>
  </si>
  <si>
    <t>Le complément d'aléas a été déterminé en fonction du disponible après avoir ajouté la totalité des révisions aux prévisions de consommation et montants réglés, ce montant étant lui même révisé, il explique les quelques centaines d'euros d'écart (fonction circulaire)</t>
  </si>
  <si>
    <t xml:space="preserve">Une solution pourrait consister à réclamer à la tutelle ce montant auquel on ajouterait le complément de révision que j'ai intégré en le calculant par rapport au précédent </t>
  </si>
  <si>
    <t>Concernant l'ensemble des calculs, les montants imputés sur les J66 et J85 ont évidemment été globalisés</t>
  </si>
  <si>
    <t>S'agisant de la reconstitution des aléas, que ce soit par rapport aux sommes restant à régler : Tx + frais Moe + frais AMO ou Tx uniquement, le montant auquel on arrive est supérieur à celui calculé relatif aux incidences plomb et amiante (5,8 M€ pour mémoire), sauf à prendre un pourcentage faible , 7% maximum</t>
  </si>
  <si>
    <t>Pour le 65 : 50% en 2013 et 50% en 2014</t>
  </si>
  <si>
    <t>CALCUL DU FINANCEMENT COMPLEMENTAIRE A DEMANDER AU MINISTERE :</t>
  </si>
  <si>
    <t>Déduire de ce montant les aléas disponibles calculés ci-dessus</t>
  </si>
  <si>
    <t>Reconstitution des aléas: 8% de la somme restant à payer, hors révisions et hors montant aléas engagés et non consommés (2,5 M€)</t>
  </si>
  <si>
    <t xml:space="preserve">Reste </t>
  </si>
  <si>
    <t>Montant révisé à 10% globalement</t>
  </si>
  <si>
    <t>Arrondi à  (la différence vient du fait que nous sommes partis de 7 M€ et non le calcul exact: 6.738.874 €)</t>
  </si>
  <si>
    <t>A ajouter le complément de révisions nécessaires calculé dans le tableau</t>
  </si>
  <si>
    <t>Montant des travaux TTC</t>
  </si>
  <si>
    <t>Incidence amiante et plomb</t>
  </si>
  <si>
    <t>Reste aléas</t>
  </si>
  <si>
    <t>Provision aléas (10% sur travaux)</t>
  </si>
  <si>
    <t>TOTAL reste à régler (moins aléas)</t>
  </si>
  <si>
    <t>Reconstitution provision aléas sur restes à régler (8% du total)</t>
  </si>
  <si>
    <t>Ajouter les révisions estimées à 10% de ce montant</t>
  </si>
  <si>
    <t>Total avec révisions</t>
  </si>
  <si>
    <t>Calcul du coefficient de révision moyen à appliquer tenant compte du constat de son évolution sur 10 ans, en rappelant que la convention initiale est en valeur Décembre 2002:</t>
  </si>
  <si>
    <t>Il est rappelé que la base marché est: Novembre 2010</t>
  </si>
  <si>
    <t>Estimation Oct 2012: BT01 Juillet 2012 X 1,01 = 875,1 x 1,01= 883</t>
  </si>
  <si>
    <t xml:space="preserve">Rappel BT 01 Nov 2010: 830,6 </t>
  </si>
  <si>
    <t>Actualisation nécessaire sur restant à payer sur ces bases</t>
  </si>
  <si>
    <t>Provision complémentaire permettant de régler les révisions</t>
  </si>
  <si>
    <t>ARRONDI A</t>
  </si>
  <si>
    <t>Incidence FTM hors amiante et plomb (à fin Novembre)</t>
  </si>
  <si>
    <t>Soustraire les révisions (10%)</t>
  </si>
  <si>
    <t>Montants TTC</t>
  </si>
  <si>
    <t>Après déduction des aleas disponibles</t>
  </si>
  <si>
    <t>calendrier de réalisation des travaux joint à cet avenant.</t>
  </si>
  <si>
    <t>Calcul de l'actualisation des marchés sur la base de l'avenant n°1 à la convention de mandat en prenant le mois d'Octobre 2012 comme barycentre des paiements suivant</t>
  </si>
  <si>
    <t>Montant restant à régler sur lequel porte cette actualisation (compris aléas non mandatés)</t>
  </si>
  <si>
    <t>Valeur NOV 2010</t>
  </si>
  <si>
    <t>En euros courants</t>
  </si>
  <si>
    <t>Calcul de l'actualisation nécessaire tenant compte du nouveau planning financier prévisionnel (barycentre des paiements reporté à DEC 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</si>
</sst>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 [$€-1]"/>
    <numFmt numFmtId="167" formatCode="#,##0.0000"/>
    <numFmt numFmtId="168" formatCode="#,##0\ _€"/>
    <numFmt numFmtId="169" formatCode="0.000"/>
    <numFmt numFmtId="170" formatCode="#,##0.000"/>
    <numFmt numFmtId="171" formatCode="[$-40C]dddd\ d\ mmmm\ yyyy"/>
    <numFmt numFmtId="172" formatCode="_-* #,##0.0\ _€_-;\-* #,##0.0\ _€_-;_-* &quot;-&quot;??\ _€_-;_-@_-"/>
    <numFmt numFmtId="173" formatCode="_-* #,##0\ _€_-;\-* #,##0\ _€_-;_-* &quot;-&quot;??\ _€_-;_-@_-"/>
    <numFmt numFmtId="174" formatCode="0.00000"/>
    <numFmt numFmtId="175" formatCode="0.0000"/>
    <numFmt numFmtId="176" formatCode="0.00000000"/>
    <numFmt numFmtId="177" formatCode="0.0000000"/>
    <numFmt numFmtId="178" formatCode="0.000000"/>
    <numFmt numFmtId="179" formatCode="0.0"/>
  </numFmts>
  <fonts count="21">
    <font>
      <sz val="10"/>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91">
    <xf numFmtId="0" fontId="0" fillId="0" borderId="0" xfId="0" applyAlignment="1">
      <alignment/>
    </xf>
    <xf numFmtId="0" fontId="1" fillId="0" borderId="0" xfId="0" applyFont="1" applyAlignment="1">
      <alignment/>
    </xf>
    <xf numFmtId="0" fontId="1" fillId="0" borderId="0" xfId="0" applyFont="1" applyFill="1" applyBorder="1" applyAlignment="1">
      <alignment/>
    </xf>
    <xf numFmtId="0" fontId="0" fillId="0" borderId="0" xfId="0" applyFont="1" applyFill="1" applyBorder="1" applyAlignment="1" quotePrefix="1">
      <alignment/>
    </xf>
    <xf numFmtId="0" fontId="1" fillId="0" borderId="10" xfId="0" applyFont="1" applyBorder="1" applyAlignment="1">
      <alignment horizontal="center"/>
    </xf>
    <xf numFmtId="0" fontId="1" fillId="0" borderId="11" xfId="0" applyFont="1" applyFill="1" applyBorder="1" applyAlignment="1">
      <alignment/>
    </xf>
    <xf numFmtId="0" fontId="1" fillId="0" borderId="11" xfId="0" applyFont="1" applyBorder="1" applyAlignment="1">
      <alignment/>
    </xf>
    <xf numFmtId="0" fontId="0" fillId="0" borderId="0" xfId="0" applyFont="1" applyAlignment="1">
      <alignment/>
    </xf>
    <xf numFmtId="0" fontId="0" fillId="0" borderId="0" xfId="0" applyFont="1" applyFill="1" applyBorder="1" applyAlignment="1">
      <alignment/>
    </xf>
    <xf numFmtId="0" fontId="1" fillId="0" borderId="0" xfId="0" applyFont="1" applyBorder="1" applyAlignment="1">
      <alignment/>
    </xf>
    <xf numFmtId="3" fontId="0" fillId="0" borderId="10" xfId="0" applyNumberFormat="1" applyFont="1" applyBorder="1" applyAlignment="1">
      <alignment/>
    </xf>
    <xf numFmtId="0" fontId="1" fillId="0" borderId="0" xfId="0" applyFont="1" applyBorder="1" applyAlignment="1">
      <alignment vertical="justify" wrapText="1"/>
    </xf>
    <xf numFmtId="0" fontId="1" fillId="0" borderId="10" xfId="0" applyFont="1" applyBorder="1" applyAlignment="1">
      <alignment vertical="justify" wrapText="1"/>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1" fillId="0" borderId="12" xfId="0" applyFont="1" applyBorder="1" applyAlignment="1">
      <alignment/>
    </xf>
    <xf numFmtId="3" fontId="1" fillId="0" borderId="11" xfId="0" applyNumberFormat="1" applyFont="1" applyBorder="1" applyAlignment="1">
      <alignment/>
    </xf>
    <xf numFmtId="0" fontId="1" fillId="0" borderId="10" xfId="0" applyFont="1" applyBorder="1" applyAlignment="1">
      <alignment/>
    </xf>
    <xf numFmtId="165" fontId="1" fillId="0" borderId="10" xfId="0" applyNumberFormat="1" applyFont="1" applyBorder="1" applyAlignment="1">
      <alignment/>
    </xf>
    <xf numFmtId="3" fontId="1" fillId="0" borderId="0" xfId="0" applyNumberFormat="1" applyFont="1" applyAlignment="1">
      <alignment/>
    </xf>
    <xf numFmtId="170" fontId="1" fillId="0" borderId="0" xfId="0" applyNumberFormat="1" applyFont="1" applyAlignment="1">
      <alignment/>
    </xf>
    <xf numFmtId="165" fontId="1" fillId="0" borderId="0" xfId="0" applyNumberFormat="1" applyFont="1" applyAlignment="1">
      <alignment/>
    </xf>
    <xf numFmtId="0" fontId="1" fillId="0" borderId="13" xfId="0" applyFont="1" applyBorder="1" applyAlignment="1">
      <alignment horizontal="center"/>
    </xf>
    <xf numFmtId="3" fontId="1" fillId="0" borderId="13" xfId="0" applyNumberFormat="1" applyFont="1" applyBorder="1" applyAlignment="1">
      <alignment/>
    </xf>
    <xf numFmtId="3" fontId="1" fillId="0" borderId="12" xfId="0" applyNumberFormat="1" applyFont="1" applyBorder="1" applyAlignment="1">
      <alignment/>
    </xf>
    <xf numFmtId="0" fontId="1" fillId="0" borderId="14" xfId="0" applyFont="1" applyBorder="1" applyAlignment="1">
      <alignment horizontal="center"/>
    </xf>
    <xf numFmtId="3" fontId="0" fillId="0" borderId="14"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Alignment="1">
      <alignment/>
    </xf>
    <xf numFmtId="2" fontId="1" fillId="0" borderId="0" xfId="0" applyNumberFormat="1" applyFont="1" applyAlignment="1">
      <alignment/>
    </xf>
    <xf numFmtId="165" fontId="1" fillId="0" borderId="0" xfId="0" applyNumberFormat="1" applyFont="1" applyAlignment="1">
      <alignment horizontal="right"/>
    </xf>
    <xf numFmtId="0" fontId="0" fillId="0" borderId="15" xfId="0" applyFont="1" applyFill="1" applyBorder="1" applyAlignment="1" quotePrefix="1">
      <alignment/>
    </xf>
    <xf numFmtId="3" fontId="0" fillId="0" borderId="16" xfId="0" applyNumberFormat="1" applyFont="1" applyBorder="1" applyAlignment="1">
      <alignment/>
    </xf>
    <xf numFmtId="3" fontId="0" fillId="0" borderId="17" xfId="0" applyNumberFormat="1" applyFont="1" applyBorder="1" applyAlignment="1">
      <alignment/>
    </xf>
    <xf numFmtId="0" fontId="0" fillId="0" borderId="13" xfId="0" applyFont="1" applyFill="1" applyBorder="1" applyAlignment="1">
      <alignment/>
    </xf>
    <xf numFmtId="0" fontId="0" fillId="0" borderId="10" xfId="0" applyFont="1" applyBorder="1" applyAlignment="1">
      <alignment vertical="justify"/>
    </xf>
    <xf numFmtId="0" fontId="1" fillId="0" borderId="0" xfId="0" applyFont="1" applyAlignment="1">
      <alignment vertical="justify" wrapText="1"/>
    </xf>
    <xf numFmtId="0" fontId="0" fillId="0" borderId="14" xfId="0" applyFont="1" applyBorder="1" applyAlignment="1">
      <alignment horizontal="center" wrapText="1"/>
    </xf>
    <xf numFmtId="0" fontId="1" fillId="0" borderId="0" xfId="0" applyFont="1" applyBorder="1" applyAlignment="1">
      <alignment horizontal="center" vertical="center"/>
    </xf>
    <xf numFmtId="0" fontId="1" fillId="0" borderId="13" xfId="0" applyFont="1" applyBorder="1" applyAlignment="1">
      <alignment vertical="justify" wrapText="1"/>
    </xf>
    <xf numFmtId="0" fontId="1" fillId="0" borderId="18" xfId="0" applyFont="1" applyBorder="1" applyAlignment="1">
      <alignment horizontal="center" vertical="center" wrapText="1"/>
    </xf>
    <xf numFmtId="3" fontId="1" fillId="0" borderId="19" xfId="0" applyNumberFormat="1" applyFont="1" applyBorder="1" applyAlignment="1">
      <alignment horizontal="center" vertical="center" wrapText="1" shrinkToFit="1"/>
    </xf>
    <xf numFmtId="0" fontId="1" fillId="0" borderId="0" xfId="0" applyFont="1" applyBorder="1" applyAlignment="1">
      <alignment horizontal="center" vertical="center" wrapText="1"/>
    </xf>
    <xf numFmtId="173" fontId="1" fillId="0" borderId="10" xfId="47" applyNumberFormat="1" applyFont="1" applyBorder="1" applyAlignment="1">
      <alignment horizontal="right"/>
    </xf>
    <xf numFmtId="0" fontId="1" fillId="0" borderId="11" xfId="0" applyFont="1" applyBorder="1" applyAlignment="1">
      <alignment horizontal="center" wrapText="1"/>
    </xf>
    <xf numFmtId="0" fontId="1" fillId="0" borderId="11" xfId="0" applyFont="1" applyBorder="1" applyAlignment="1">
      <alignment horizontal="center"/>
    </xf>
    <xf numFmtId="0" fontId="0" fillId="0" borderId="10" xfId="0" applyFont="1" applyBorder="1" applyAlignment="1">
      <alignment/>
    </xf>
    <xf numFmtId="4" fontId="0" fillId="0" borderId="0" xfId="0" applyNumberFormat="1" applyFont="1" applyAlignment="1">
      <alignment/>
    </xf>
    <xf numFmtId="0" fontId="0" fillId="0" borderId="0" xfId="0" applyFont="1" applyAlignment="1" quotePrefix="1">
      <alignment/>
    </xf>
    <xf numFmtId="2" fontId="0" fillId="0" borderId="10" xfId="0" applyNumberFormat="1" applyFont="1" applyBorder="1" applyAlignment="1">
      <alignment/>
    </xf>
    <xf numFmtId="165" fontId="0" fillId="0" borderId="0" xfId="0" applyNumberFormat="1" applyFont="1" applyAlignment="1">
      <alignment/>
    </xf>
    <xf numFmtId="3" fontId="0" fillId="0" borderId="13" xfId="0" applyNumberFormat="1" applyFont="1" applyBorder="1" applyAlignment="1">
      <alignment/>
    </xf>
    <xf numFmtId="3" fontId="0" fillId="0" borderId="15" xfId="0" applyNumberFormat="1" applyFont="1" applyBorder="1" applyAlignment="1">
      <alignment/>
    </xf>
    <xf numFmtId="0" fontId="0" fillId="0" borderId="17" xfId="0" applyFont="1" applyBorder="1" applyAlignment="1">
      <alignment/>
    </xf>
    <xf numFmtId="167" fontId="0" fillId="0" borderId="10" xfId="0" applyNumberFormat="1" applyFont="1" applyBorder="1" applyAlignment="1">
      <alignment/>
    </xf>
    <xf numFmtId="170" fontId="0" fillId="0" borderId="10" xfId="0" applyNumberFormat="1" applyFont="1" applyBorder="1" applyAlignment="1">
      <alignment/>
    </xf>
    <xf numFmtId="0" fontId="0" fillId="0" borderId="14" xfId="0" applyFont="1" applyBorder="1" applyAlignment="1">
      <alignment/>
    </xf>
    <xf numFmtId="165" fontId="0" fillId="0" borderId="10" xfId="0" applyNumberFormat="1" applyFont="1" applyBorder="1" applyAlignment="1">
      <alignment/>
    </xf>
    <xf numFmtId="0" fontId="0" fillId="0" borderId="13" xfId="0" applyFont="1" applyBorder="1" applyAlignment="1">
      <alignment/>
    </xf>
    <xf numFmtId="173" fontId="0" fillId="0" borderId="10" xfId="47" applyNumberFormat="1" applyFont="1" applyBorder="1" applyAlignment="1">
      <alignment/>
    </xf>
    <xf numFmtId="0" fontId="0" fillId="0" borderId="20" xfId="0" applyFont="1" applyBorder="1" applyAlignment="1">
      <alignment/>
    </xf>
    <xf numFmtId="3" fontId="0" fillId="0" borderId="21" xfId="0" applyNumberFormat="1" applyFont="1" applyBorder="1" applyAlignment="1">
      <alignment/>
    </xf>
    <xf numFmtId="3" fontId="0" fillId="0" borderId="20" xfId="0" applyNumberFormat="1" applyFont="1" applyBorder="1" applyAlignment="1">
      <alignment/>
    </xf>
    <xf numFmtId="3" fontId="0" fillId="0" borderId="22" xfId="0" applyNumberFormat="1" applyFont="1" applyBorder="1" applyAlignment="1">
      <alignment/>
    </xf>
    <xf numFmtId="3" fontId="0" fillId="0" borderId="11" xfId="0" applyNumberFormat="1" applyFont="1" applyBorder="1" applyAlignment="1">
      <alignment/>
    </xf>
    <xf numFmtId="165" fontId="0" fillId="0" borderId="21" xfId="0" applyNumberFormat="1" applyFont="1" applyBorder="1" applyAlignment="1">
      <alignment/>
    </xf>
    <xf numFmtId="3" fontId="0" fillId="0" borderId="0" xfId="0" applyNumberFormat="1" applyFont="1" applyBorder="1" applyAlignment="1">
      <alignment/>
    </xf>
    <xf numFmtId="170" fontId="0" fillId="0" borderId="0" xfId="0" applyNumberFormat="1" applyFont="1" applyAlignment="1">
      <alignment/>
    </xf>
    <xf numFmtId="0" fontId="0" fillId="0" borderId="10" xfId="0" applyFont="1" applyBorder="1" applyAlignment="1">
      <alignment vertical="justify" wrapText="1"/>
    </xf>
    <xf numFmtId="0" fontId="0" fillId="0" borderId="0" xfId="0" applyFont="1" applyBorder="1" applyAlignment="1">
      <alignment/>
    </xf>
    <xf numFmtId="0" fontId="0" fillId="0" borderId="0" xfId="0" applyFont="1" applyBorder="1" applyAlignment="1">
      <alignment vertical="justify" wrapText="1"/>
    </xf>
    <xf numFmtId="165" fontId="0" fillId="0" borderId="0" xfId="0" applyNumberFormat="1" applyFont="1" applyBorder="1" applyAlignment="1">
      <alignment/>
    </xf>
    <xf numFmtId="3" fontId="0" fillId="0" borderId="10" xfId="0" applyNumberFormat="1" applyFont="1" applyBorder="1" applyAlignment="1">
      <alignment horizontal="center"/>
    </xf>
    <xf numFmtId="0" fontId="0" fillId="0" borderId="10" xfId="0" applyFont="1" applyBorder="1" applyAlignment="1">
      <alignment horizontal="center"/>
    </xf>
    <xf numFmtId="165" fontId="0" fillId="0" borderId="0" xfId="0" applyNumberFormat="1" applyFont="1" applyAlignment="1">
      <alignment horizontal="right"/>
    </xf>
    <xf numFmtId="0" fontId="0" fillId="0" borderId="0" xfId="0" applyFont="1" applyAlignment="1">
      <alignment vertical="justify" wrapText="1"/>
    </xf>
    <xf numFmtId="0" fontId="0" fillId="0" borderId="14" xfId="0" applyFont="1" applyBorder="1" applyAlignment="1">
      <alignment vertical="justify" wrapText="1"/>
    </xf>
    <xf numFmtId="0" fontId="0" fillId="0" borderId="10" xfId="0" applyFont="1" applyBorder="1" applyAlignment="1">
      <alignment horizontal="center" wrapText="1"/>
    </xf>
    <xf numFmtId="165" fontId="0" fillId="0" borderId="14" xfId="0" applyNumberFormat="1" applyFont="1" applyBorder="1" applyAlignment="1">
      <alignment/>
    </xf>
    <xf numFmtId="0" fontId="0" fillId="0" borderId="14" xfId="0" applyFont="1" applyBorder="1" applyAlignment="1">
      <alignment horizontal="center" vertical="justify" wrapText="1"/>
    </xf>
    <xf numFmtId="0" fontId="0" fillId="0" borderId="14" xfId="0" applyFont="1" applyBorder="1" applyAlignment="1">
      <alignment horizontal="center"/>
    </xf>
    <xf numFmtId="169" fontId="0" fillId="0" borderId="10" xfId="0" applyNumberFormat="1" applyFont="1" applyBorder="1" applyAlignment="1">
      <alignment horizontal="center"/>
    </xf>
    <xf numFmtId="169" fontId="0" fillId="0" borderId="14" xfId="0" applyNumberFormat="1" applyFont="1" applyBorder="1" applyAlignment="1">
      <alignment horizontal="center"/>
    </xf>
    <xf numFmtId="169" fontId="0" fillId="0" borderId="0" xfId="0" applyNumberFormat="1" applyFont="1" applyAlignment="1">
      <alignment/>
    </xf>
    <xf numFmtId="3" fontId="0" fillId="0" borderId="0" xfId="0" applyNumberFormat="1" applyAlignment="1">
      <alignment/>
    </xf>
    <xf numFmtId="3" fontId="1" fillId="0" borderId="0" xfId="0" applyNumberFormat="1" applyFont="1" applyBorder="1" applyAlignment="1">
      <alignment/>
    </xf>
    <xf numFmtId="0" fontId="1" fillId="0" borderId="0" xfId="0" applyFont="1" applyAlignment="1">
      <alignment horizontal="center"/>
    </xf>
    <xf numFmtId="0" fontId="0" fillId="0" borderId="0" xfId="0" applyFont="1" applyAlignment="1">
      <alignment horizontal="center" vertical="justify" wrapText="1"/>
    </xf>
    <xf numFmtId="0" fontId="0" fillId="0" borderId="0" xfId="0" applyAlignment="1">
      <alignment horizontal="right"/>
    </xf>
    <xf numFmtId="3" fontId="0" fillId="0" borderId="0" xfId="0" applyNumberForma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6"/>
  <sheetViews>
    <sheetView zoomScalePageLayoutView="0" workbookViewId="0" topLeftCell="A1">
      <selection activeCell="B99" sqref="B99"/>
    </sheetView>
  </sheetViews>
  <sheetFormatPr defaultColWidth="11.421875" defaultRowHeight="12.75"/>
  <cols>
    <col min="1" max="1" width="54.57421875" style="7" customWidth="1"/>
    <col min="2" max="4" width="18.7109375" style="51" customWidth="1"/>
    <col min="5" max="8" width="15.7109375" style="7" customWidth="1"/>
    <col min="9" max="9" width="16.8515625" style="7" customWidth="1"/>
    <col min="10" max="10" width="17.421875" style="7" customWidth="1"/>
    <col min="11" max="16384" width="11.421875" style="7" customWidth="1"/>
  </cols>
  <sheetData>
    <row r="1" spans="2:10" ht="51.75" customHeight="1">
      <c r="B1" s="45" t="s">
        <v>37</v>
      </c>
      <c r="C1" s="45" t="s">
        <v>35</v>
      </c>
      <c r="D1" s="45" t="s">
        <v>61</v>
      </c>
      <c r="E1" s="45" t="s">
        <v>72</v>
      </c>
      <c r="F1" s="46">
        <v>2013</v>
      </c>
      <c r="G1" s="46">
        <v>2014</v>
      </c>
      <c r="H1" s="46">
        <v>2015</v>
      </c>
      <c r="I1" s="45" t="s">
        <v>79</v>
      </c>
      <c r="J1" s="45" t="s">
        <v>96</v>
      </c>
    </row>
    <row r="2" spans="1:10" ht="12.75">
      <c r="A2" s="1" t="s">
        <v>7</v>
      </c>
      <c r="B2" s="47"/>
      <c r="C2" s="47"/>
      <c r="D2" s="47"/>
      <c r="E2" s="47"/>
      <c r="F2" s="47"/>
      <c r="G2" s="47"/>
      <c r="H2" s="47"/>
      <c r="I2" s="47"/>
      <c r="J2" s="47"/>
    </row>
    <row r="3" spans="1:10" ht="12.75">
      <c r="A3" s="7" t="s">
        <v>34</v>
      </c>
      <c r="B3" s="14">
        <v>6728566</v>
      </c>
      <c r="C3" s="14">
        <v>1632529</v>
      </c>
      <c r="D3" s="14"/>
      <c r="E3" s="10"/>
      <c r="F3" s="10">
        <f>C3*0.35</f>
        <v>571385.1499999999</v>
      </c>
      <c r="G3" s="10">
        <f>C3*0.35</f>
        <v>571385.1499999999</v>
      </c>
      <c r="H3" s="10">
        <f>C3*0.3</f>
        <v>489758.69999999995</v>
      </c>
      <c r="I3" s="10">
        <f>SUM(F3:H3)</f>
        <v>1632528.9999999998</v>
      </c>
      <c r="J3" s="10">
        <f>B3+I3</f>
        <v>8361095</v>
      </c>
    </row>
    <row r="4" spans="1:11" ht="12.75">
      <c r="A4" s="7" t="s">
        <v>13</v>
      </c>
      <c r="B4" s="14">
        <v>0</v>
      </c>
      <c r="C4" s="48"/>
      <c r="D4" s="14">
        <v>3677018</v>
      </c>
      <c r="E4" s="10">
        <v>1728525</v>
      </c>
      <c r="F4" s="10">
        <f>E4*0.35</f>
        <v>604983.75</v>
      </c>
      <c r="G4" s="10">
        <f>E4*0.35</f>
        <v>604983.75</v>
      </c>
      <c r="H4" s="10">
        <f>E4*0.3</f>
        <v>518557.5</v>
      </c>
      <c r="I4" s="10">
        <f aca="true" t="shared" si="0" ref="I4:I10">SUM(F4:H4)</f>
        <v>1728525</v>
      </c>
      <c r="J4" s="10">
        <f aca="true" t="shared" si="1" ref="J4:J10">B4+I4</f>
        <v>1728525</v>
      </c>
      <c r="K4" s="29"/>
    </row>
    <row r="5" spans="1:11" ht="12.75">
      <c r="A5" s="7" t="s">
        <v>40</v>
      </c>
      <c r="B5" s="14">
        <v>530123</v>
      </c>
      <c r="C5" s="14">
        <v>215760</v>
      </c>
      <c r="D5" s="14"/>
      <c r="E5" s="10"/>
      <c r="F5" s="10">
        <f>C5*0.35</f>
        <v>75516</v>
      </c>
      <c r="G5" s="10">
        <f>C5*0.35</f>
        <v>75516</v>
      </c>
      <c r="H5" s="10">
        <f>C5*0.3</f>
        <v>64728</v>
      </c>
      <c r="I5" s="10">
        <f t="shared" si="0"/>
        <v>215760</v>
      </c>
      <c r="J5" s="10">
        <f t="shared" si="1"/>
        <v>745883</v>
      </c>
      <c r="K5" s="29"/>
    </row>
    <row r="6" spans="1:11" ht="12.75">
      <c r="A6" s="7" t="s">
        <v>41</v>
      </c>
      <c r="B6" s="14"/>
      <c r="C6" s="14"/>
      <c r="D6" s="14">
        <v>1116111</v>
      </c>
      <c r="E6" s="10">
        <v>553011</v>
      </c>
      <c r="F6" s="10">
        <f>E6*0.35</f>
        <v>193553.84999999998</v>
      </c>
      <c r="G6" s="10">
        <f>E6*0.35</f>
        <v>193553.84999999998</v>
      </c>
      <c r="H6" s="10">
        <f>E6*0.3</f>
        <v>165903.3</v>
      </c>
      <c r="I6" s="10">
        <f t="shared" si="0"/>
        <v>553011</v>
      </c>
      <c r="J6" s="10">
        <f t="shared" si="1"/>
        <v>553011</v>
      </c>
      <c r="K6" s="29"/>
    </row>
    <row r="7" spans="1:11" ht="12.75">
      <c r="A7" s="7" t="s">
        <v>67</v>
      </c>
      <c r="B7" s="14">
        <v>1292</v>
      </c>
      <c r="C7" s="14">
        <v>67534</v>
      </c>
      <c r="D7" s="14"/>
      <c r="E7" s="10"/>
      <c r="F7" s="10">
        <f>C7*0.35</f>
        <v>23636.899999999998</v>
      </c>
      <c r="G7" s="10">
        <f>C7*0.35</f>
        <v>23636.899999999998</v>
      </c>
      <c r="H7" s="10">
        <f>C7*0.3</f>
        <v>20260.2</v>
      </c>
      <c r="I7" s="10">
        <f t="shared" si="0"/>
        <v>67534</v>
      </c>
      <c r="J7" s="10">
        <f t="shared" si="1"/>
        <v>68826</v>
      </c>
      <c r="K7" s="29"/>
    </row>
    <row r="8" spans="1:10" ht="12.75">
      <c r="A8" s="7" t="s">
        <v>52</v>
      </c>
      <c r="B8" s="14">
        <v>452608</v>
      </c>
      <c r="C8" s="14">
        <v>181845</v>
      </c>
      <c r="D8" s="14"/>
      <c r="E8" s="10"/>
      <c r="F8" s="10">
        <f>C8*0.35</f>
        <v>63645.74999999999</v>
      </c>
      <c r="G8" s="10">
        <f>C8*0.35</f>
        <v>63645.74999999999</v>
      </c>
      <c r="H8" s="10">
        <f>C8*0.3</f>
        <v>54553.5</v>
      </c>
      <c r="I8" s="10">
        <f t="shared" si="0"/>
        <v>181845</v>
      </c>
      <c r="J8" s="10">
        <f t="shared" si="1"/>
        <v>634453</v>
      </c>
    </row>
    <row r="9" spans="1:10" ht="12.75">
      <c r="A9" s="7" t="s">
        <v>57</v>
      </c>
      <c r="B9" s="14">
        <v>36840</v>
      </c>
      <c r="C9" s="14">
        <v>33851</v>
      </c>
      <c r="D9" s="14"/>
      <c r="E9" s="10"/>
      <c r="F9" s="10">
        <f>C9*0.35</f>
        <v>11847.849999999999</v>
      </c>
      <c r="G9" s="10">
        <f>C9*0.35</f>
        <v>11847.849999999999</v>
      </c>
      <c r="H9" s="10">
        <f>C9*0.3</f>
        <v>10155.3</v>
      </c>
      <c r="I9" s="10">
        <f t="shared" si="0"/>
        <v>33851</v>
      </c>
      <c r="J9" s="10">
        <f t="shared" si="1"/>
        <v>70691</v>
      </c>
    </row>
    <row r="10" spans="1:10" ht="12.75">
      <c r="A10" s="7" t="s">
        <v>58</v>
      </c>
      <c r="B10" s="14">
        <v>365680</v>
      </c>
      <c r="C10" s="14">
        <v>238271</v>
      </c>
      <c r="D10" s="14"/>
      <c r="E10" s="10"/>
      <c r="F10" s="28">
        <f>C10*0.5</f>
        <v>119135.5</v>
      </c>
      <c r="G10" s="10">
        <f>C10*0.5</f>
        <v>119135.5</v>
      </c>
      <c r="H10" s="10"/>
      <c r="I10" s="10">
        <f t="shared" si="0"/>
        <v>238271</v>
      </c>
      <c r="J10" s="10">
        <f t="shared" si="1"/>
        <v>603951</v>
      </c>
    </row>
    <row r="11" spans="2:10" ht="12.75">
      <c r="B11" s="14"/>
      <c r="C11" s="14"/>
      <c r="D11" s="14"/>
      <c r="E11" s="10"/>
      <c r="G11" s="10"/>
      <c r="H11" s="10"/>
      <c r="I11" s="10"/>
      <c r="J11" s="10"/>
    </row>
    <row r="12" spans="1:10" ht="12.75">
      <c r="A12" s="1" t="s">
        <v>10</v>
      </c>
      <c r="B12" s="15">
        <f aca="true" t="shared" si="2" ref="B12:J12">SUM(B3:B10)</f>
        <v>8115109</v>
      </c>
      <c r="C12" s="15">
        <f t="shared" si="2"/>
        <v>2369790</v>
      </c>
      <c r="D12" s="15">
        <f t="shared" si="2"/>
        <v>4793129</v>
      </c>
      <c r="E12" s="15">
        <f t="shared" si="2"/>
        <v>2281536</v>
      </c>
      <c r="F12" s="15">
        <f t="shared" si="2"/>
        <v>1663704.75</v>
      </c>
      <c r="G12" s="15">
        <f t="shared" si="2"/>
        <v>1663704.75</v>
      </c>
      <c r="H12" s="15">
        <f t="shared" si="2"/>
        <v>1323916.5</v>
      </c>
      <c r="I12" s="15">
        <f t="shared" si="2"/>
        <v>4651326</v>
      </c>
      <c r="J12" s="15">
        <f t="shared" si="2"/>
        <v>12766435</v>
      </c>
    </row>
    <row r="13" spans="2:10" ht="12.75">
      <c r="B13" s="14"/>
      <c r="C13" s="14"/>
      <c r="D13" s="14"/>
      <c r="E13" s="10"/>
      <c r="F13" s="10"/>
      <c r="G13" s="10"/>
      <c r="H13" s="10"/>
      <c r="I13" s="10"/>
      <c r="J13" s="10"/>
    </row>
    <row r="14" spans="1:10" ht="12.75">
      <c r="A14" s="1" t="s">
        <v>9</v>
      </c>
      <c r="B14" s="14"/>
      <c r="C14" s="14"/>
      <c r="D14" s="14"/>
      <c r="E14" s="10"/>
      <c r="F14" s="10"/>
      <c r="G14" s="10"/>
      <c r="H14" s="10"/>
      <c r="I14" s="10"/>
      <c r="J14" s="10"/>
    </row>
    <row r="15" spans="1:10" ht="12.75">
      <c r="A15" s="49" t="s">
        <v>0</v>
      </c>
      <c r="B15" s="14">
        <v>66832</v>
      </c>
      <c r="C15" s="14">
        <v>0</v>
      </c>
      <c r="D15" s="14"/>
      <c r="E15" s="10"/>
      <c r="F15" s="10"/>
      <c r="G15" s="29"/>
      <c r="H15" s="10"/>
      <c r="I15" s="10"/>
      <c r="J15" s="10">
        <f aca="true" t="shared" si="3" ref="J15:J33">B15+I15</f>
        <v>66832</v>
      </c>
    </row>
    <row r="16" spans="1:10" ht="12.75">
      <c r="A16" s="49" t="s">
        <v>38</v>
      </c>
      <c r="B16" s="14">
        <v>138897</v>
      </c>
      <c r="C16" s="14">
        <v>87242</v>
      </c>
      <c r="D16" s="14"/>
      <c r="E16" s="10"/>
      <c r="F16" s="10">
        <f aca="true" t="shared" si="4" ref="F16:F32">C16*0.35</f>
        <v>30534.699999999997</v>
      </c>
      <c r="G16" s="10">
        <f aca="true" t="shared" si="5" ref="G16:G32">C16*0.35</f>
        <v>30534.699999999997</v>
      </c>
      <c r="H16" s="10">
        <f aca="true" t="shared" si="6" ref="H16:H32">C16*0.3</f>
        <v>26172.6</v>
      </c>
      <c r="I16" s="10">
        <f aca="true" t="shared" si="7" ref="I16:I33">SUM(F16:H16)</f>
        <v>87242</v>
      </c>
      <c r="J16" s="10">
        <f t="shared" si="3"/>
        <v>226139</v>
      </c>
    </row>
    <row r="17" spans="1:10" ht="12.75">
      <c r="A17" s="49" t="s">
        <v>44</v>
      </c>
      <c r="B17" s="14"/>
      <c r="C17" s="14"/>
      <c r="D17" s="14">
        <v>162202</v>
      </c>
      <c r="E17" s="10">
        <v>43559</v>
      </c>
      <c r="F17" s="10">
        <f>E17*0.35</f>
        <v>15245.65</v>
      </c>
      <c r="G17" s="10">
        <f>E17*0.35</f>
        <v>15245.65</v>
      </c>
      <c r="H17" s="10">
        <f>E17*0.3</f>
        <v>13067.699999999999</v>
      </c>
      <c r="I17" s="10">
        <f t="shared" si="7"/>
        <v>43559</v>
      </c>
      <c r="J17" s="10">
        <f t="shared" si="3"/>
        <v>43559</v>
      </c>
    </row>
    <row r="18" spans="1:10" ht="12.75">
      <c r="A18" s="49" t="s">
        <v>54</v>
      </c>
      <c r="B18" s="14">
        <v>31186</v>
      </c>
      <c r="C18" s="14">
        <v>26664</v>
      </c>
      <c r="D18" s="14"/>
      <c r="E18" s="10"/>
      <c r="F18" s="10">
        <f t="shared" si="4"/>
        <v>9332.4</v>
      </c>
      <c r="G18" s="10">
        <f t="shared" si="5"/>
        <v>9332.4</v>
      </c>
      <c r="H18" s="10">
        <f t="shared" si="6"/>
        <v>7999.2</v>
      </c>
      <c r="I18" s="10">
        <f t="shared" si="7"/>
        <v>26664</v>
      </c>
      <c r="J18" s="10">
        <f t="shared" si="3"/>
        <v>57850</v>
      </c>
    </row>
    <row r="19" spans="1:10" ht="12.75">
      <c r="A19" s="49" t="s">
        <v>46</v>
      </c>
      <c r="B19" s="14"/>
      <c r="C19" s="14"/>
      <c r="D19" s="14">
        <v>60655</v>
      </c>
      <c r="E19" s="10">
        <v>15823</v>
      </c>
      <c r="F19" s="10">
        <f>E19*0.35</f>
        <v>5538.049999999999</v>
      </c>
      <c r="G19" s="10">
        <f>E19*0.35</f>
        <v>5538.049999999999</v>
      </c>
      <c r="H19" s="10">
        <f>E19*0.3</f>
        <v>4746.9</v>
      </c>
      <c r="I19" s="10">
        <f t="shared" si="7"/>
        <v>15822.999999999998</v>
      </c>
      <c r="J19" s="10">
        <f t="shared" si="3"/>
        <v>15822.999999999998</v>
      </c>
    </row>
    <row r="20" spans="1:10" ht="12.75">
      <c r="A20" s="49" t="s">
        <v>30</v>
      </c>
      <c r="B20" s="14">
        <v>10549</v>
      </c>
      <c r="C20" s="14">
        <v>33262</v>
      </c>
      <c r="D20" s="14"/>
      <c r="E20" s="10"/>
      <c r="F20" s="10">
        <f t="shared" si="4"/>
        <v>11641.699999999999</v>
      </c>
      <c r="G20" s="10">
        <f t="shared" si="5"/>
        <v>11641.699999999999</v>
      </c>
      <c r="H20" s="10">
        <f t="shared" si="6"/>
        <v>9978.6</v>
      </c>
      <c r="I20" s="10">
        <f t="shared" si="7"/>
        <v>33262</v>
      </c>
      <c r="J20" s="10">
        <f t="shared" si="3"/>
        <v>43811</v>
      </c>
    </row>
    <row r="21" spans="1:10" ht="12.75">
      <c r="A21" s="49" t="s">
        <v>39</v>
      </c>
      <c r="B21" s="14">
        <v>115964</v>
      </c>
      <c r="C21" s="14">
        <v>88220</v>
      </c>
      <c r="D21" s="14"/>
      <c r="E21" s="10"/>
      <c r="F21" s="10">
        <f t="shared" si="4"/>
        <v>30876.999999999996</v>
      </c>
      <c r="G21" s="10">
        <f t="shared" si="5"/>
        <v>30876.999999999996</v>
      </c>
      <c r="H21" s="10">
        <f t="shared" si="6"/>
        <v>26466</v>
      </c>
      <c r="I21" s="10">
        <f t="shared" si="7"/>
        <v>88220</v>
      </c>
      <c r="J21" s="10">
        <f t="shared" si="3"/>
        <v>204184</v>
      </c>
    </row>
    <row r="22" spans="1:10" ht="12.75">
      <c r="A22" s="49" t="s">
        <v>42</v>
      </c>
      <c r="B22" s="14"/>
      <c r="C22" s="14"/>
      <c r="D22" s="14">
        <v>165238</v>
      </c>
      <c r="E22" s="10">
        <v>11076</v>
      </c>
      <c r="F22" s="10">
        <f>E22*0.35</f>
        <v>3876.6</v>
      </c>
      <c r="G22" s="10">
        <f>E22*0.35</f>
        <v>3876.6</v>
      </c>
      <c r="H22" s="10">
        <f>E22*0.3</f>
        <v>3322.7999999999997</v>
      </c>
      <c r="I22" s="10">
        <f t="shared" si="7"/>
        <v>11076</v>
      </c>
      <c r="J22" s="10">
        <f t="shared" si="3"/>
        <v>11076</v>
      </c>
    </row>
    <row r="23" spans="1:10" ht="12.75">
      <c r="A23" s="49" t="s">
        <v>48</v>
      </c>
      <c r="B23" s="14">
        <v>11515</v>
      </c>
      <c r="C23" s="14">
        <v>40811</v>
      </c>
      <c r="D23" s="14"/>
      <c r="E23" s="10"/>
      <c r="F23" s="10">
        <f t="shared" si="4"/>
        <v>14283.849999999999</v>
      </c>
      <c r="G23" s="10">
        <f t="shared" si="5"/>
        <v>14283.849999999999</v>
      </c>
      <c r="H23" s="10">
        <f t="shared" si="6"/>
        <v>12243.3</v>
      </c>
      <c r="I23" s="10">
        <f t="shared" si="7"/>
        <v>40811</v>
      </c>
      <c r="J23" s="10">
        <f t="shared" si="3"/>
        <v>52326</v>
      </c>
    </row>
    <row r="24" spans="1:10" ht="12.75">
      <c r="A24" s="49" t="s">
        <v>47</v>
      </c>
      <c r="B24" s="14"/>
      <c r="C24" s="14"/>
      <c r="D24" s="14">
        <v>46791</v>
      </c>
      <c r="E24" s="10">
        <v>4294</v>
      </c>
      <c r="F24" s="10">
        <f>E24*0.35</f>
        <v>1502.8999999999999</v>
      </c>
      <c r="G24" s="10">
        <f>E24*0.35</f>
        <v>1502.8999999999999</v>
      </c>
      <c r="H24" s="10">
        <f>E24*0.3</f>
        <v>1288.2</v>
      </c>
      <c r="I24" s="10">
        <f t="shared" si="7"/>
        <v>4294</v>
      </c>
      <c r="J24" s="10">
        <f t="shared" si="3"/>
        <v>4294</v>
      </c>
    </row>
    <row r="25" spans="1:10" ht="12.75">
      <c r="A25" s="49" t="s">
        <v>31</v>
      </c>
      <c r="B25" s="14">
        <v>7924</v>
      </c>
      <c r="C25" s="14">
        <v>48213</v>
      </c>
      <c r="D25" s="14"/>
      <c r="E25" s="10"/>
      <c r="F25" s="10">
        <f t="shared" si="4"/>
        <v>16874.55</v>
      </c>
      <c r="G25" s="10">
        <f t="shared" si="5"/>
        <v>16874.55</v>
      </c>
      <c r="H25" s="10">
        <f t="shared" si="6"/>
        <v>14463.9</v>
      </c>
      <c r="I25" s="10">
        <f t="shared" si="7"/>
        <v>48213</v>
      </c>
      <c r="J25" s="10">
        <f t="shared" si="3"/>
        <v>56137</v>
      </c>
    </row>
    <row r="26" spans="1:10" ht="12.75">
      <c r="A26" s="49" t="s">
        <v>51</v>
      </c>
      <c r="B26" s="14">
        <v>765662</v>
      </c>
      <c r="C26" s="14">
        <v>440491</v>
      </c>
      <c r="D26" s="14"/>
      <c r="E26" s="10"/>
      <c r="F26" s="10">
        <f t="shared" si="4"/>
        <v>154171.84999999998</v>
      </c>
      <c r="G26" s="10">
        <f t="shared" si="5"/>
        <v>154171.84999999998</v>
      </c>
      <c r="H26" s="10">
        <f t="shared" si="6"/>
        <v>132147.3</v>
      </c>
      <c r="I26" s="10">
        <f t="shared" si="7"/>
        <v>440490.99999999994</v>
      </c>
      <c r="J26" s="10">
        <f t="shared" si="3"/>
        <v>1206153</v>
      </c>
    </row>
    <row r="27" spans="1:10" ht="12.75">
      <c r="A27" s="49" t="s">
        <v>43</v>
      </c>
      <c r="B27" s="14"/>
      <c r="C27" s="14"/>
      <c r="D27" s="14">
        <v>823015</v>
      </c>
      <c r="E27" s="10">
        <v>56056</v>
      </c>
      <c r="F27" s="10">
        <f>E27*0.35</f>
        <v>19619.6</v>
      </c>
      <c r="G27" s="10">
        <f>E27*0.35</f>
        <v>19619.6</v>
      </c>
      <c r="H27" s="10">
        <f>E27*0.3</f>
        <v>16816.8</v>
      </c>
      <c r="I27" s="10">
        <f t="shared" si="7"/>
        <v>56056</v>
      </c>
      <c r="J27" s="10">
        <f t="shared" si="3"/>
        <v>56056</v>
      </c>
    </row>
    <row r="28" spans="1:10" ht="12.75">
      <c r="A28" s="49" t="s">
        <v>50</v>
      </c>
      <c r="B28" s="14">
        <v>27706</v>
      </c>
      <c r="C28" s="14">
        <v>100667</v>
      </c>
      <c r="D28" s="14"/>
      <c r="E28" s="10"/>
      <c r="F28" s="10">
        <f t="shared" si="4"/>
        <v>35233.45</v>
      </c>
      <c r="G28" s="10">
        <f t="shared" si="5"/>
        <v>35233.45</v>
      </c>
      <c r="H28" s="10">
        <f t="shared" si="6"/>
        <v>30200.1</v>
      </c>
      <c r="I28" s="10">
        <f t="shared" si="7"/>
        <v>100667</v>
      </c>
      <c r="J28" s="10">
        <f t="shared" si="3"/>
        <v>128373</v>
      </c>
    </row>
    <row r="29" spans="1:10" ht="12.75">
      <c r="A29" s="49" t="s">
        <v>49</v>
      </c>
      <c r="B29" s="14"/>
      <c r="C29" s="14"/>
      <c r="D29" s="14">
        <v>174903</v>
      </c>
      <c r="E29" s="10">
        <v>25074</v>
      </c>
      <c r="F29" s="10">
        <f>E29*0.35</f>
        <v>8775.9</v>
      </c>
      <c r="G29" s="10">
        <f>E29*0.35</f>
        <v>8775.9</v>
      </c>
      <c r="H29" s="10">
        <f>E29*0.3</f>
        <v>7522.2</v>
      </c>
      <c r="I29" s="10">
        <f t="shared" si="7"/>
        <v>25074</v>
      </c>
      <c r="J29" s="10">
        <f t="shared" si="3"/>
        <v>25074</v>
      </c>
    </row>
    <row r="30" spans="1:10" ht="12.75">
      <c r="A30" s="49" t="s">
        <v>32</v>
      </c>
      <c r="B30" s="14">
        <v>15718</v>
      </c>
      <c r="C30" s="14">
        <v>160981</v>
      </c>
      <c r="D30" s="14"/>
      <c r="E30" s="10"/>
      <c r="F30" s="10">
        <f t="shared" si="4"/>
        <v>56343.35</v>
      </c>
      <c r="G30" s="10">
        <f t="shared" si="5"/>
        <v>56343.35</v>
      </c>
      <c r="H30" s="10">
        <f t="shared" si="6"/>
        <v>48294.299999999996</v>
      </c>
      <c r="I30" s="10">
        <f t="shared" si="7"/>
        <v>160981</v>
      </c>
      <c r="J30" s="10">
        <f t="shared" si="3"/>
        <v>176699</v>
      </c>
    </row>
    <row r="31" spans="1:10" ht="12.75">
      <c r="A31" s="49" t="s">
        <v>56</v>
      </c>
      <c r="B31" s="14">
        <v>120253</v>
      </c>
      <c r="C31" s="14">
        <v>100818</v>
      </c>
      <c r="D31" s="14"/>
      <c r="E31" s="10"/>
      <c r="F31" s="10">
        <f t="shared" si="4"/>
        <v>35286.299999999996</v>
      </c>
      <c r="G31" s="10">
        <f t="shared" si="5"/>
        <v>35286.299999999996</v>
      </c>
      <c r="H31" s="10">
        <f t="shared" si="6"/>
        <v>30245.399999999998</v>
      </c>
      <c r="I31" s="10">
        <f t="shared" si="7"/>
        <v>100817.99999999999</v>
      </c>
      <c r="J31" s="10">
        <f t="shared" si="3"/>
        <v>221071</v>
      </c>
    </row>
    <row r="32" spans="1:10" ht="12.75">
      <c r="A32" s="49" t="s">
        <v>55</v>
      </c>
      <c r="B32" s="14"/>
      <c r="C32" s="14">
        <v>21538</v>
      </c>
      <c r="D32" s="14"/>
      <c r="E32" s="10"/>
      <c r="F32" s="10">
        <f t="shared" si="4"/>
        <v>7538.299999999999</v>
      </c>
      <c r="G32" s="10">
        <f t="shared" si="5"/>
        <v>7538.299999999999</v>
      </c>
      <c r="H32" s="10">
        <f t="shared" si="6"/>
        <v>6461.4</v>
      </c>
      <c r="I32" s="10">
        <f t="shared" si="7"/>
        <v>21538</v>
      </c>
      <c r="J32" s="10">
        <f t="shared" si="3"/>
        <v>21538</v>
      </c>
    </row>
    <row r="33" spans="1:10" ht="12.75">
      <c r="A33" s="49" t="s">
        <v>45</v>
      </c>
      <c r="B33" s="14"/>
      <c r="C33" s="14"/>
      <c r="D33" s="14">
        <v>102205</v>
      </c>
      <c r="E33" s="10">
        <v>49437</v>
      </c>
      <c r="F33" s="10">
        <f>E33*0.35</f>
        <v>17302.949999999997</v>
      </c>
      <c r="G33" s="10">
        <f>E33*0.35</f>
        <v>17302.949999999997</v>
      </c>
      <c r="H33" s="10">
        <f>E33*0.3</f>
        <v>14831.099999999999</v>
      </c>
      <c r="I33" s="10">
        <f t="shared" si="7"/>
        <v>49436.99999999999</v>
      </c>
      <c r="J33" s="10">
        <f t="shared" si="3"/>
        <v>49436.99999999999</v>
      </c>
    </row>
    <row r="34" spans="1:10" ht="12.75">
      <c r="A34" s="49"/>
      <c r="B34" s="14"/>
      <c r="C34" s="14"/>
      <c r="D34" s="14"/>
      <c r="E34" s="10"/>
      <c r="F34" s="10"/>
      <c r="G34" s="10"/>
      <c r="H34" s="10"/>
      <c r="I34" s="10"/>
      <c r="J34" s="10"/>
    </row>
    <row r="35" spans="1:10" ht="12.75">
      <c r="A35" s="18" t="s">
        <v>68</v>
      </c>
      <c r="B35" s="19">
        <f aca="true" t="shared" si="8" ref="B35:I35">SUM(B15:B33)</f>
        <v>1312206</v>
      </c>
      <c r="C35" s="19">
        <f t="shared" si="8"/>
        <v>1148907</v>
      </c>
      <c r="D35" s="19">
        <f t="shared" si="8"/>
        <v>1535009</v>
      </c>
      <c r="E35" s="19">
        <f t="shared" si="8"/>
        <v>205319</v>
      </c>
      <c r="F35" s="44">
        <f t="shared" si="8"/>
        <v>473979.1</v>
      </c>
      <c r="G35" s="44">
        <f t="shared" si="8"/>
        <v>473979.1</v>
      </c>
      <c r="H35" s="44">
        <f t="shared" si="8"/>
        <v>406267.8</v>
      </c>
      <c r="I35" s="44">
        <f t="shared" si="8"/>
        <v>1354226</v>
      </c>
      <c r="J35" s="44">
        <f>SUM(J15:J33)</f>
        <v>2666432</v>
      </c>
    </row>
    <row r="36" spans="1:10" ht="12.75">
      <c r="A36" s="49"/>
      <c r="B36" s="14"/>
      <c r="C36" s="14"/>
      <c r="D36" s="14"/>
      <c r="E36" s="10"/>
      <c r="F36" s="10"/>
      <c r="G36" s="10"/>
      <c r="H36" s="10"/>
      <c r="I36" s="10"/>
      <c r="J36" s="10"/>
    </row>
    <row r="37" spans="1:10" ht="12.75">
      <c r="A37" s="1" t="s">
        <v>8</v>
      </c>
      <c r="B37" s="14"/>
      <c r="C37" s="14"/>
      <c r="D37" s="14"/>
      <c r="E37" s="10"/>
      <c r="F37" s="10"/>
      <c r="G37" s="10"/>
      <c r="H37" s="10"/>
      <c r="I37" s="10"/>
      <c r="J37" s="10"/>
    </row>
    <row r="38" spans="1:10" ht="12.75">
      <c r="A38" s="7" t="s">
        <v>60</v>
      </c>
      <c r="B38" s="14">
        <v>172396</v>
      </c>
      <c r="C38" s="14">
        <v>9603</v>
      </c>
      <c r="D38" s="14"/>
      <c r="E38" s="10"/>
      <c r="F38" s="10">
        <f>C38*0.35</f>
        <v>3361.0499999999997</v>
      </c>
      <c r="G38" s="10">
        <f>C38*0.35</f>
        <v>3361.0499999999997</v>
      </c>
      <c r="H38" s="10">
        <f>C38*0.3</f>
        <v>2880.9</v>
      </c>
      <c r="I38" s="10">
        <f>SUM(F38:H38)</f>
        <v>9603</v>
      </c>
      <c r="J38" s="10">
        <f aca="true" t="shared" si="9" ref="J38:J54">B38+I38</f>
        <v>181999</v>
      </c>
    </row>
    <row r="39" spans="1:10" ht="12.75">
      <c r="A39" s="7" t="s">
        <v>2</v>
      </c>
      <c r="B39" s="14">
        <v>0</v>
      </c>
      <c r="C39" s="14"/>
      <c r="D39" s="14"/>
      <c r="E39" s="10"/>
      <c r="F39" s="10"/>
      <c r="G39" s="10"/>
      <c r="H39" s="10"/>
      <c r="I39" s="10"/>
      <c r="J39" s="10"/>
    </row>
    <row r="40" spans="1:10" ht="12.75">
      <c r="A40" s="7" t="s">
        <v>64</v>
      </c>
      <c r="B40" s="14">
        <v>436063</v>
      </c>
      <c r="C40" s="14">
        <v>187875</v>
      </c>
      <c r="D40" s="14"/>
      <c r="E40" s="10"/>
      <c r="F40" s="10"/>
      <c r="G40" s="10"/>
      <c r="H40" s="10">
        <f>C40</f>
        <v>187875</v>
      </c>
      <c r="I40" s="10">
        <f aca="true" t="shared" si="10" ref="I40:I45">SUM(F40:H40)</f>
        <v>187875</v>
      </c>
      <c r="J40" s="10">
        <f t="shared" si="9"/>
        <v>623938</v>
      </c>
    </row>
    <row r="41" spans="1:10" ht="12.75">
      <c r="A41" s="7" t="s">
        <v>33</v>
      </c>
      <c r="B41" s="14">
        <v>0</v>
      </c>
      <c r="C41" s="14">
        <v>900000</v>
      </c>
      <c r="D41" s="14"/>
      <c r="E41" s="10"/>
      <c r="F41" s="10"/>
      <c r="G41" s="10">
        <f>C41</f>
        <v>900000</v>
      </c>
      <c r="H41" s="10"/>
      <c r="I41" s="10">
        <f t="shared" si="10"/>
        <v>900000</v>
      </c>
      <c r="J41" s="10">
        <f t="shared" si="9"/>
        <v>900000</v>
      </c>
    </row>
    <row r="42" spans="1:10" ht="12.75">
      <c r="A42" s="7" t="s">
        <v>53</v>
      </c>
      <c r="B42" s="14">
        <v>135271</v>
      </c>
      <c r="C42" s="14"/>
      <c r="D42" s="14"/>
      <c r="E42" s="10"/>
      <c r="F42" s="10"/>
      <c r="G42" s="10"/>
      <c r="H42" s="10"/>
      <c r="I42" s="10">
        <f t="shared" si="10"/>
        <v>0</v>
      </c>
      <c r="J42" s="10">
        <f t="shared" si="9"/>
        <v>135271</v>
      </c>
    </row>
    <row r="43" spans="1:10" ht="12.75">
      <c r="A43" s="7" t="s">
        <v>65</v>
      </c>
      <c r="B43" s="14">
        <v>156413</v>
      </c>
      <c r="C43" s="14"/>
      <c r="D43" s="14"/>
      <c r="E43" s="10"/>
      <c r="F43" s="10"/>
      <c r="G43" s="10"/>
      <c r="H43" s="10"/>
      <c r="I43" s="10">
        <f t="shared" si="10"/>
        <v>0</v>
      </c>
      <c r="J43" s="10">
        <f t="shared" si="9"/>
        <v>156413</v>
      </c>
    </row>
    <row r="44" spans="1:10" ht="12.75">
      <c r="A44" s="7" t="s">
        <v>63</v>
      </c>
      <c r="B44" s="14">
        <v>145500</v>
      </c>
      <c r="C44" s="14">
        <v>305641</v>
      </c>
      <c r="D44" s="14"/>
      <c r="E44" s="10"/>
      <c r="F44" s="10">
        <f>C44*0.35</f>
        <v>106974.34999999999</v>
      </c>
      <c r="G44" s="10">
        <f>C44*0.35</f>
        <v>106974.34999999999</v>
      </c>
      <c r="H44" s="10">
        <f>C44*0.3</f>
        <v>91692.3</v>
      </c>
      <c r="I44" s="10">
        <f t="shared" si="10"/>
        <v>305641</v>
      </c>
      <c r="J44" s="10">
        <f t="shared" si="9"/>
        <v>451141</v>
      </c>
    </row>
    <row r="45" spans="1:10" ht="12.75">
      <c r="A45" s="7" t="s">
        <v>59</v>
      </c>
      <c r="B45" s="14">
        <v>145000</v>
      </c>
      <c r="C45" s="14">
        <v>109654</v>
      </c>
      <c r="D45" s="14"/>
      <c r="E45" s="10"/>
      <c r="F45" s="28">
        <f>C45*0.5</f>
        <v>54827</v>
      </c>
      <c r="G45" s="10">
        <f>C45*0.5</f>
        <v>54827</v>
      </c>
      <c r="H45" s="10"/>
      <c r="I45" s="10">
        <f t="shared" si="10"/>
        <v>109654</v>
      </c>
      <c r="J45" s="10">
        <f t="shared" si="9"/>
        <v>254654</v>
      </c>
    </row>
    <row r="46" spans="2:10" ht="12.75">
      <c r="B46" s="14"/>
      <c r="C46" s="14"/>
      <c r="D46" s="14"/>
      <c r="E46" s="10"/>
      <c r="F46" s="10"/>
      <c r="G46" s="10"/>
      <c r="H46" s="10"/>
      <c r="I46" s="10"/>
      <c r="J46" s="10"/>
    </row>
    <row r="47" spans="1:10" ht="12.75">
      <c r="A47" s="1" t="s">
        <v>11</v>
      </c>
      <c r="B47" s="15">
        <f>SUM(B35:B45)</f>
        <v>2502849</v>
      </c>
      <c r="C47" s="15">
        <f>SUM(C35:C45)</f>
        <v>2661680</v>
      </c>
      <c r="D47" s="15"/>
      <c r="E47" s="15"/>
      <c r="F47" s="15">
        <f>SUM(F35:F45)</f>
        <v>639141.5</v>
      </c>
      <c r="G47" s="15">
        <f>SUM(G35:G45)</f>
        <v>1539141.5</v>
      </c>
      <c r="H47" s="15">
        <f>SUM(H35:H45)</f>
        <v>688716</v>
      </c>
      <c r="I47" s="15">
        <f>SUM(I35:I45)</f>
        <v>2866999</v>
      </c>
      <c r="J47" s="15">
        <f>SUM(J35:J45)</f>
        <v>5369848</v>
      </c>
    </row>
    <row r="48" spans="2:10" ht="12.75">
      <c r="B48" s="50"/>
      <c r="C48" s="50"/>
      <c r="D48" s="50"/>
      <c r="E48" s="10"/>
      <c r="F48" s="10"/>
      <c r="G48" s="10"/>
      <c r="H48" s="10"/>
      <c r="I48" s="10"/>
      <c r="J48" s="10"/>
    </row>
    <row r="49" spans="1:10" ht="12.75">
      <c r="A49" s="1" t="s">
        <v>3</v>
      </c>
      <c r="B49" s="10"/>
      <c r="C49" s="10"/>
      <c r="D49" s="10"/>
      <c r="E49" s="10"/>
      <c r="F49" s="10"/>
      <c r="G49" s="10"/>
      <c r="H49" s="10"/>
      <c r="I49" s="10"/>
      <c r="J49" s="10"/>
    </row>
    <row r="50" spans="1:10" ht="12.75">
      <c r="A50" s="3" t="s">
        <v>28</v>
      </c>
      <c r="B50" s="10">
        <v>3816015</v>
      </c>
      <c r="C50" s="10">
        <v>20778</v>
      </c>
      <c r="D50" s="10"/>
      <c r="E50" s="10"/>
      <c r="F50" s="10">
        <f>C50</f>
        <v>20778</v>
      </c>
      <c r="G50" s="10"/>
      <c r="H50" s="10"/>
      <c r="I50" s="10">
        <f>SUM(F50:H50)</f>
        <v>20778</v>
      </c>
      <c r="J50" s="10">
        <f t="shared" si="9"/>
        <v>3836793</v>
      </c>
    </row>
    <row r="51" spans="1:10" ht="12.75">
      <c r="A51" s="8" t="s">
        <v>36</v>
      </c>
      <c r="B51" s="10">
        <v>1479554</v>
      </c>
      <c r="C51" s="10">
        <v>0</v>
      </c>
      <c r="D51" s="10"/>
      <c r="E51" s="10"/>
      <c r="F51" s="10"/>
      <c r="G51" s="10"/>
      <c r="H51" s="10"/>
      <c r="I51" s="10"/>
      <c r="J51" s="10">
        <f t="shared" si="9"/>
        <v>1479554</v>
      </c>
    </row>
    <row r="52" spans="1:10" ht="12.75">
      <c r="A52" s="3" t="s">
        <v>62</v>
      </c>
      <c r="B52" s="10">
        <v>14092858</v>
      </c>
      <c r="C52" s="10">
        <v>61904246</v>
      </c>
      <c r="E52" s="10"/>
      <c r="F52" s="10">
        <f>C52*0.35</f>
        <v>21666486.099999998</v>
      </c>
      <c r="G52" s="10">
        <f>C52*0.35</f>
        <v>21666486.099999998</v>
      </c>
      <c r="H52" s="10">
        <f>C52*0.3</f>
        <v>18571273.8</v>
      </c>
      <c r="I52" s="10">
        <f>SUM(F52:H52)</f>
        <v>61904246</v>
      </c>
      <c r="J52" s="10">
        <f t="shared" si="9"/>
        <v>75997104</v>
      </c>
    </row>
    <row r="53" spans="1:10" ht="12.75">
      <c r="A53" s="8" t="s">
        <v>29</v>
      </c>
      <c r="B53" s="10">
        <v>100412</v>
      </c>
      <c r="C53" s="10">
        <v>2097873</v>
      </c>
      <c r="D53" s="10"/>
      <c r="E53" s="10"/>
      <c r="F53" s="10">
        <f>C53*0.35</f>
        <v>734255.5499999999</v>
      </c>
      <c r="G53" s="10">
        <f>C53*0.35</f>
        <v>734255.5499999999</v>
      </c>
      <c r="H53" s="10">
        <f>C53*0.3</f>
        <v>629361.9</v>
      </c>
      <c r="I53" s="10">
        <f>SUM(F53:H53)</f>
        <v>2097873</v>
      </c>
      <c r="J53" s="10">
        <f t="shared" si="9"/>
        <v>2198285</v>
      </c>
    </row>
    <row r="54" spans="1:10" ht="12.75">
      <c r="A54" s="3" t="s">
        <v>5</v>
      </c>
      <c r="B54" s="10">
        <v>95349</v>
      </c>
      <c r="C54" s="10">
        <v>5540986</v>
      </c>
      <c r="E54" s="10"/>
      <c r="F54" s="28">
        <f>C54*0.5</f>
        <v>2770493</v>
      </c>
      <c r="G54" s="10">
        <f>C54*0.5</f>
        <v>2770493</v>
      </c>
      <c r="H54" s="10"/>
      <c r="I54" s="10">
        <f>SUM(F54:H54)</f>
        <v>5540986</v>
      </c>
      <c r="J54" s="10">
        <f t="shared" si="9"/>
        <v>5636335</v>
      </c>
    </row>
    <row r="55" spans="1:10" ht="12.75">
      <c r="A55" s="3"/>
      <c r="B55" s="10"/>
      <c r="C55" s="10"/>
      <c r="D55" s="10"/>
      <c r="E55" s="10"/>
      <c r="F55" s="10"/>
      <c r="G55" s="10"/>
      <c r="H55" s="10"/>
      <c r="I55" s="10"/>
      <c r="J55" s="10"/>
    </row>
    <row r="56" spans="1:10" ht="12.75">
      <c r="A56" s="1" t="s">
        <v>12</v>
      </c>
      <c r="B56" s="13">
        <f>SUM(B50:B54)</f>
        <v>19584188</v>
      </c>
      <c r="C56" s="13">
        <f>SUM(C50:C55)</f>
        <v>69563883</v>
      </c>
      <c r="D56" s="13"/>
      <c r="E56" s="13"/>
      <c r="F56" s="13">
        <f>SUM(F50:F55)</f>
        <v>25192012.65</v>
      </c>
      <c r="G56" s="13">
        <f>SUM(G50:G55)</f>
        <v>25171234.65</v>
      </c>
      <c r="H56" s="13">
        <f>SUM(H50:H55)</f>
        <v>19200635.7</v>
      </c>
      <c r="I56" s="13">
        <f>SUM(I50:I55)</f>
        <v>69563883</v>
      </c>
      <c r="J56" s="13">
        <f>SUM(J50:J55)</f>
        <v>89148071</v>
      </c>
    </row>
    <row r="57" spans="2:10" ht="12.75">
      <c r="B57" s="10"/>
      <c r="C57" s="10"/>
      <c r="D57" s="10"/>
      <c r="E57" s="10"/>
      <c r="F57" s="10"/>
      <c r="G57" s="10"/>
      <c r="H57" s="10"/>
      <c r="I57" s="10"/>
      <c r="J57" s="10"/>
    </row>
    <row r="58" spans="1:10" ht="9" customHeight="1">
      <c r="A58" s="2"/>
      <c r="B58" s="10"/>
      <c r="C58" s="10"/>
      <c r="D58" s="10"/>
      <c r="E58" s="10"/>
      <c r="F58" s="10"/>
      <c r="G58" s="10"/>
      <c r="H58" s="10"/>
      <c r="I58" s="10"/>
      <c r="J58" s="10"/>
    </row>
    <row r="59" spans="1:10" ht="12.75">
      <c r="A59" s="1"/>
      <c r="B59" s="10"/>
      <c r="C59" s="10"/>
      <c r="D59" s="10"/>
      <c r="E59" s="10"/>
      <c r="F59" s="10"/>
      <c r="G59" s="10"/>
      <c r="H59" s="10"/>
      <c r="I59" s="10"/>
      <c r="J59" s="10"/>
    </row>
    <row r="60" spans="1:10" ht="12.75">
      <c r="A60" s="1"/>
      <c r="B60" s="10"/>
      <c r="C60" s="10"/>
      <c r="D60" s="10"/>
      <c r="E60" s="10"/>
      <c r="F60" s="10"/>
      <c r="G60" s="10"/>
      <c r="H60" s="10"/>
      <c r="I60" s="10"/>
      <c r="J60" s="10"/>
    </row>
    <row r="61" spans="1:10" ht="12.75">
      <c r="A61" s="7" t="s">
        <v>66</v>
      </c>
      <c r="B61" s="52">
        <v>20428</v>
      </c>
      <c r="C61" s="10">
        <v>1850835</v>
      </c>
      <c r="D61" s="10"/>
      <c r="E61" s="10"/>
      <c r="F61" s="10">
        <f>C61</f>
        <v>1850835</v>
      </c>
      <c r="G61" s="27"/>
      <c r="H61" s="10"/>
      <c r="I61" s="10">
        <f>F61</f>
        <v>1850835</v>
      </c>
      <c r="J61" s="10">
        <f>B61+I61</f>
        <v>1871263</v>
      </c>
    </row>
    <row r="62" spans="1:10" ht="12.75">
      <c r="A62" s="7" t="s">
        <v>94</v>
      </c>
      <c r="B62" s="52"/>
      <c r="C62" s="10">
        <v>380000</v>
      </c>
      <c r="D62" s="10"/>
      <c r="E62" s="10"/>
      <c r="F62" s="10">
        <v>380000</v>
      </c>
      <c r="G62" s="27"/>
      <c r="H62" s="10"/>
      <c r="I62" s="10">
        <f>F62</f>
        <v>380000</v>
      </c>
      <c r="J62" s="10">
        <f>B62+I62</f>
        <v>380000</v>
      </c>
    </row>
    <row r="63" spans="2:10" ht="12.75">
      <c r="B63" s="52"/>
      <c r="C63" s="10"/>
      <c r="D63" s="10"/>
      <c r="E63" s="10"/>
      <c r="F63" s="10"/>
      <c r="G63" s="27"/>
      <c r="H63" s="10"/>
      <c r="I63" s="10"/>
      <c r="J63" s="10"/>
    </row>
    <row r="64" spans="1:10" ht="12.75">
      <c r="A64" s="1" t="s">
        <v>4</v>
      </c>
      <c r="B64" s="23"/>
      <c r="C64" s="4"/>
      <c r="D64" s="4"/>
      <c r="E64" s="4"/>
      <c r="F64" s="4"/>
      <c r="G64" s="26"/>
      <c r="H64" s="4"/>
      <c r="I64" s="4"/>
      <c r="J64" s="4"/>
    </row>
    <row r="65" spans="2:10" ht="12.75">
      <c r="B65" s="52"/>
      <c r="C65" s="10"/>
      <c r="D65" s="10"/>
      <c r="E65" s="10"/>
      <c r="F65" s="10"/>
      <c r="G65" s="27"/>
      <c r="H65" s="10"/>
      <c r="I65" s="10"/>
      <c r="J65" s="10"/>
    </row>
    <row r="66" spans="1:10" ht="12.75">
      <c r="A66" s="7" t="s">
        <v>70</v>
      </c>
      <c r="B66" s="52"/>
      <c r="C66" s="10">
        <v>3872876</v>
      </c>
      <c r="D66" s="10"/>
      <c r="E66" s="10"/>
      <c r="F66" s="10">
        <f>C66*0.35</f>
        <v>1355506.5999999999</v>
      </c>
      <c r="G66" s="10">
        <f>C66*0.35</f>
        <v>1355506.5999999999</v>
      </c>
      <c r="H66" s="10">
        <f>C66*0.3</f>
        <v>1161862.8</v>
      </c>
      <c r="I66" s="10">
        <f>SUM(F66:H66)</f>
        <v>3872876</v>
      </c>
      <c r="J66" s="10">
        <f>B66+I66</f>
        <v>3872876</v>
      </c>
    </row>
    <row r="67" spans="2:10" ht="12.75">
      <c r="B67" s="52"/>
      <c r="C67" s="10"/>
      <c r="D67" s="10"/>
      <c r="E67" s="10"/>
      <c r="F67" s="10"/>
      <c r="G67" s="27"/>
      <c r="H67" s="10"/>
      <c r="I67" s="10"/>
      <c r="J67" s="10"/>
    </row>
    <row r="68" spans="1:10" ht="12.75">
      <c r="A68" s="7" t="s">
        <v>90</v>
      </c>
      <c r="B68" s="52"/>
      <c r="C68" s="10">
        <v>3550000</v>
      </c>
      <c r="D68" s="10"/>
      <c r="E68" s="10"/>
      <c r="F68" s="10">
        <f>C68*0.35</f>
        <v>1242500</v>
      </c>
      <c r="G68" s="10">
        <f>C68*0.35</f>
        <v>1242500</v>
      </c>
      <c r="H68" s="10">
        <f>C68*0.3</f>
        <v>1065000</v>
      </c>
      <c r="I68" s="10">
        <f>SUM(F68:H68)</f>
        <v>3550000</v>
      </c>
      <c r="J68" s="10">
        <f>B68+I68</f>
        <v>3550000</v>
      </c>
    </row>
    <row r="69" spans="1:10" ht="12.75">
      <c r="A69" s="3"/>
      <c r="B69" s="52"/>
      <c r="C69" s="10"/>
      <c r="D69" s="10"/>
      <c r="E69" s="10"/>
      <c r="F69" s="10"/>
      <c r="G69" s="27"/>
      <c r="H69" s="10"/>
      <c r="I69" s="10"/>
      <c r="J69" s="10"/>
    </row>
    <row r="70" spans="1:10" ht="12.75">
      <c r="A70" s="2" t="s">
        <v>91</v>
      </c>
      <c r="B70" s="24">
        <f>SUM(B61:B66)</f>
        <v>20428</v>
      </c>
      <c r="C70" s="13">
        <f>SUM(C61:C68)</f>
        <v>9653711</v>
      </c>
      <c r="D70" s="10"/>
      <c r="E70" s="10"/>
      <c r="F70" s="13">
        <f>SUM(F61:F68)</f>
        <v>4828841.6</v>
      </c>
      <c r="G70" s="13">
        <f>SUM(G61:G68)</f>
        <v>2598006.5999999996</v>
      </c>
      <c r="H70" s="13">
        <f>SUM(H61:H68)</f>
        <v>2226862.8</v>
      </c>
      <c r="I70" s="13">
        <f>SUM(I61:I68)</f>
        <v>9653711</v>
      </c>
      <c r="J70" s="13">
        <f>SUM(J61:J68)</f>
        <v>9674139</v>
      </c>
    </row>
    <row r="71" spans="1:10" ht="12.75">
      <c r="A71" s="3"/>
      <c r="B71" s="52"/>
      <c r="C71" s="10"/>
      <c r="D71" s="10"/>
      <c r="E71" s="10"/>
      <c r="F71" s="10"/>
      <c r="G71" s="27"/>
      <c r="H71" s="10"/>
      <c r="I71" s="10"/>
      <c r="J71" s="10"/>
    </row>
    <row r="72" spans="1:10" ht="12.75">
      <c r="A72" s="16" t="s">
        <v>1</v>
      </c>
      <c r="B72" s="25">
        <f>B12+B47+B56+B70</f>
        <v>30222574</v>
      </c>
      <c r="C72" s="17">
        <f>C12+C47+C56+C70</f>
        <v>84249064</v>
      </c>
      <c r="D72" s="17">
        <f>D12+D35</f>
        <v>6328138</v>
      </c>
      <c r="E72" s="17">
        <f>E12+E35</f>
        <v>2486855</v>
      </c>
      <c r="F72" s="17">
        <f>F12+F47+F56+F70</f>
        <v>32323700.5</v>
      </c>
      <c r="G72" s="17">
        <f>G12+G47+G56+G70</f>
        <v>30972087.5</v>
      </c>
      <c r="H72" s="17">
        <f>H12+H47+H56+H70</f>
        <v>23440131</v>
      </c>
      <c r="I72" s="17">
        <f>I12+I47+I56+I70</f>
        <v>86735919</v>
      </c>
      <c r="J72" s="17">
        <f>J12+J47+J56+J70</f>
        <v>116958493</v>
      </c>
    </row>
    <row r="73" spans="1:10" ht="12.75">
      <c r="A73" s="32"/>
      <c r="B73" s="53"/>
      <c r="C73" s="34"/>
      <c r="D73" s="34"/>
      <c r="E73" s="54"/>
      <c r="F73" s="54"/>
      <c r="G73" s="33"/>
      <c r="H73" s="34"/>
      <c r="I73" s="34"/>
      <c r="J73" s="34"/>
    </row>
    <row r="74" spans="1:10" ht="12.75">
      <c r="A74" s="35" t="s">
        <v>82</v>
      </c>
      <c r="B74" s="55"/>
      <c r="C74" s="55"/>
      <c r="D74" s="55"/>
      <c r="E74" s="55"/>
      <c r="F74" s="56">
        <v>1.036</v>
      </c>
      <c r="G74" s="56">
        <f>F74*F74</f>
        <v>1.073296</v>
      </c>
      <c r="H74" s="56">
        <f>G74*F74</f>
        <v>1.111934656</v>
      </c>
      <c r="I74" s="47"/>
      <c r="J74" s="57"/>
    </row>
    <row r="75" spans="1:10" ht="12.75">
      <c r="A75" s="47"/>
      <c r="B75" s="58"/>
      <c r="C75" s="58"/>
      <c r="D75" s="58"/>
      <c r="E75" s="47"/>
      <c r="F75" s="47"/>
      <c r="G75" s="47"/>
      <c r="H75" s="47"/>
      <c r="I75" s="47"/>
      <c r="J75" s="47"/>
    </row>
    <row r="76" spans="1:10" ht="12.75">
      <c r="A76" s="59" t="s">
        <v>97</v>
      </c>
      <c r="B76" s="58"/>
      <c r="C76" s="58"/>
      <c r="D76" s="58"/>
      <c r="E76" s="47"/>
      <c r="F76" s="60">
        <f>F72*F74</f>
        <v>33487353.718000002</v>
      </c>
      <c r="G76" s="60">
        <f>G72*G74</f>
        <v>33242217.6254</v>
      </c>
      <c r="H76" s="60">
        <f>H72*H74</f>
        <v>26063894.000079937</v>
      </c>
      <c r="I76" s="47"/>
      <c r="J76" s="47"/>
    </row>
    <row r="77" spans="1:10" ht="12.75">
      <c r="A77" s="61"/>
      <c r="B77" s="62"/>
      <c r="C77" s="62"/>
      <c r="D77" s="62"/>
      <c r="E77" s="62"/>
      <c r="F77" s="62"/>
      <c r="G77" s="63"/>
      <c r="H77" s="64"/>
      <c r="I77" s="62"/>
      <c r="J77" s="62"/>
    </row>
    <row r="78" spans="1:10" ht="12.75">
      <c r="A78" s="5" t="s">
        <v>98</v>
      </c>
      <c r="B78" s="65"/>
      <c r="C78" s="65"/>
      <c r="D78" s="65"/>
      <c r="E78" s="65"/>
      <c r="F78" s="65">
        <f>F76-F72</f>
        <v>1163653.2180000022</v>
      </c>
      <c r="G78" s="65">
        <f>G76-G72</f>
        <v>2270130.1253999993</v>
      </c>
      <c r="H78" s="65">
        <f>H76-H72</f>
        <v>2623763.0000799373</v>
      </c>
      <c r="I78" s="17">
        <f>SUM(F78:H78)</f>
        <v>6057546.343479939</v>
      </c>
      <c r="J78" s="65">
        <f>J72+I78</f>
        <v>123016039.34347993</v>
      </c>
    </row>
    <row r="79" spans="1:10" ht="12.75">
      <c r="A79" s="7" t="s">
        <v>69</v>
      </c>
      <c r="B79" s="52"/>
      <c r="C79" s="10">
        <v>3998065</v>
      </c>
      <c r="D79" s="10"/>
      <c r="E79" s="10"/>
      <c r="F79" s="10"/>
      <c r="G79" s="27"/>
      <c r="H79" s="10"/>
      <c r="I79" s="10"/>
      <c r="J79" s="10"/>
    </row>
    <row r="80" spans="1:10" ht="12.75">
      <c r="A80" s="1"/>
      <c r="B80" s="52"/>
      <c r="C80" s="10"/>
      <c r="D80" s="10"/>
      <c r="E80" s="10"/>
      <c r="F80" s="10"/>
      <c r="G80" s="27"/>
      <c r="H80" s="10"/>
      <c r="I80" s="10"/>
      <c r="J80" s="10"/>
    </row>
    <row r="81" spans="1:10" ht="12.75">
      <c r="A81" s="7" t="s">
        <v>83</v>
      </c>
      <c r="B81" s="52"/>
      <c r="C81" s="10">
        <v>1303936</v>
      </c>
      <c r="D81" s="10"/>
      <c r="E81" s="10"/>
      <c r="F81" s="10"/>
      <c r="G81" s="27"/>
      <c r="H81" s="10"/>
      <c r="I81" s="10"/>
      <c r="J81" s="10"/>
    </row>
    <row r="82" spans="1:10" ht="12.75">
      <c r="A82" s="1"/>
      <c r="B82" s="52"/>
      <c r="C82" s="10"/>
      <c r="D82" s="10"/>
      <c r="E82" s="10"/>
      <c r="F82" s="10"/>
      <c r="G82" s="27"/>
      <c r="H82" s="10"/>
      <c r="I82" s="10"/>
      <c r="J82" s="10"/>
    </row>
    <row r="83" spans="1:10" ht="12.75">
      <c r="A83" s="1" t="s">
        <v>92</v>
      </c>
      <c r="B83" s="52"/>
      <c r="C83" s="58">
        <f>C79+C81</f>
        <v>5302001</v>
      </c>
      <c r="D83" s="10"/>
      <c r="E83" s="10"/>
      <c r="F83" s="10"/>
      <c r="G83" s="27"/>
      <c r="H83" s="10"/>
      <c r="I83" s="10"/>
      <c r="J83" s="10"/>
    </row>
    <row r="84" spans="2:10" ht="12.75">
      <c r="B84" s="52"/>
      <c r="C84" s="58"/>
      <c r="D84" s="10"/>
      <c r="E84" s="10"/>
      <c r="F84" s="10"/>
      <c r="G84" s="27"/>
      <c r="H84" s="10"/>
      <c r="I84" s="10"/>
      <c r="J84" s="10"/>
    </row>
    <row r="85" spans="1:10" ht="12.75">
      <c r="A85" s="1" t="s">
        <v>100</v>
      </c>
      <c r="B85" s="52"/>
      <c r="C85" s="19">
        <f>I78-C83</f>
        <v>755545.3434799388</v>
      </c>
      <c r="D85" s="10"/>
      <c r="E85" s="10"/>
      <c r="F85" s="10"/>
      <c r="G85" s="27"/>
      <c r="H85" s="10"/>
      <c r="I85" s="10"/>
      <c r="J85" s="10"/>
    </row>
    <row r="86" spans="2:10" ht="12.75">
      <c r="B86" s="52"/>
      <c r="C86" s="66"/>
      <c r="D86" s="10"/>
      <c r="E86" s="10"/>
      <c r="F86" s="10"/>
      <c r="G86" s="27"/>
      <c r="H86" s="10"/>
      <c r="I86" s="10"/>
      <c r="J86" s="10"/>
    </row>
    <row r="87" spans="1:10" ht="12.75">
      <c r="A87" s="6" t="s">
        <v>6</v>
      </c>
      <c r="B87" s="17">
        <f>B72</f>
        <v>30222574</v>
      </c>
      <c r="C87" s="17">
        <f>C72+C83+C85</f>
        <v>90306610.34347993</v>
      </c>
      <c r="D87" s="17"/>
      <c r="E87" s="17"/>
      <c r="F87" s="17">
        <f>F72+F78</f>
        <v>33487353.718000002</v>
      </c>
      <c r="G87" s="17">
        <f>G72+G78</f>
        <v>33242217.6254</v>
      </c>
      <c r="H87" s="17">
        <f>H72+H78</f>
        <v>26063894.000079937</v>
      </c>
      <c r="I87" s="17">
        <f>I72+I78</f>
        <v>92793465.34347993</v>
      </c>
      <c r="J87" s="17">
        <f>I87+B87</f>
        <v>123016039.34347993</v>
      </c>
    </row>
    <row r="88" spans="1:10" ht="24.75" customHeight="1">
      <c r="A88" s="9"/>
      <c r="B88" s="67"/>
      <c r="C88" s="67"/>
      <c r="D88" s="67"/>
      <c r="E88" s="67"/>
      <c r="F88" s="67"/>
      <c r="G88" s="67"/>
      <c r="H88" s="67"/>
      <c r="I88" s="67"/>
      <c r="J88" s="67"/>
    </row>
    <row r="89" spans="1:9" ht="12.75">
      <c r="A89" s="1" t="s">
        <v>71</v>
      </c>
      <c r="B89" s="20">
        <f>(B72+C72+C79)-(C68+C41)</f>
        <v>114019703</v>
      </c>
      <c r="C89" s="29"/>
      <c r="D89" s="29"/>
      <c r="G89" s="7" t="s">
        <v>99</v>
      </c>
      <c r="I89" s="29">
        <f>J72+C83-E72</f>
        <v>119773639</v>
      </c>
    </row>
    <row r="91" spans="1:2" ht="12.75">
      <c r="A91" s="7" t="s">
        <v>73</v>
      </c>
      <c r="B91" s="21">
        <f>875.1/621.5</f>
        <v>1.40804505229284</v>
      </c>
    </row>
    <row r="92" spans="1:3" ht="12.75">
      <c r="A92" s="8" t="s">
        <v>80</v>
      </c>
      <c r="B92" s="30">
        <v>1.42</v>
      </c>
      <c r="C92" s="31" t="s">
        <v>81</v>
      </c>
    </row>
    <row r="93" ht="12.75">
      <c r="A93" s="7" t="s">
        <v>75</v>
      </c>
    </row>
    <row r="94" ht="12.75">
      <c r="A94" s="7" t="s">
        <v>76</v>
      </c>
    </row>
    <row r="95" ht="12.75">
      <c r="A95" s="7" t="s">
        <v>77</v>
      </c>
    </row>
    <row r="96" spans="1:2" ht="12.75">
      <c r="A96" s="7" t="s">
        <v>78</v>
      </c>
      <c r="B96" s="68">
        <f>883/830.6</f>
        <v>1.063086925114375</v>
      </c>
    </row>
    <row r="98" spans="1:2" ht="12.75">
      <c r="A98" s="1" t="s">
        <v>74</v>
      </c>
      <c r="B98" s="22">
        <f>C72*0.063</f>
        <v>5307691.032</v>
      </c>
    </row>
    <row r="99" spans="1:2" ht="12.75">
      <c r="A99" s="7" t="s">
        <v>93</v>
      </c>
      <c r="B99" s="51">
        <f>B98-C79</f>
        <v>1309626.0319999997</v>
      </c>
    </row>
    <row r="100" ht="12.75">
      <c r="A100" s="1" t="s">
        <v>89</v>
      </c>
    </row>
    <row r="101" spans="2:3" ht="12.75">
      <c r="B101" s="51" t="s">
        <v>84</v>
      </c>
      <c r="C101" s="51">
        <v>119783000</v>
      </c>
    </row>
    <row r="102" spans="2:3" ht="12.75">
      <c r="B102" s="51" t="s">
        <v>85</v>
      </c>
      <c r="C102" s="51">
        <v>-114019703</v>
      </c>
    </row>
    <row r="103" spans="2:3" ht="12.75">
      <c r="B103" s="51" t="s">
        <v>86</v>
      </c>
      <c r="C103" s="51">
        <v>-1309626</v>
      </c>
    </row>
    <row r="104" spans="2:3" ht="12.75">
      <c r="B104" s="51" t="s">
        <v>87</v>
      </c>
      <c r="C104" s="51">
        <v>-900000</v>
      </c>
    </row>
    <row r="105" spans="2:3" ht="12.75">
      <c r="B105" s="51" t="s">
        <v>88</v>
      </c>
      <c r="C105" s="51">
        <f>SUM(C101:C104)</f>
        <v>3553671</v>
      </c>
    </row>
    <row r="106" spans="2:3" ht="12.75">
      <c r="B106" s="22" t="s">
        <v>95</v>
      </c>
      <c r="C106" s="22">
        <v>3550000</v>
      </c>
    </row>
    <row r="108" ht="12.75">
      <c r="A108" s="1" t="s">
        <v>120</v>
      </c>
    </row>
    <row r="109" ht="12.75">
      <c r="A109" s="1"/>
    </row>
    <row r="110" spans="1:6" ht="12.75">
      <c r="A110" s="7" t="s">
        <v>122</v>
      </c>
      <c r="F110" s="51">
        <f>(I72-2500000)*0.08</f>
        <v>6738873.5200000005</v>
      </c>
    </row>
    <row r="111" spans="1:6" ht="12.75">
      <c r="A111" s="7" t="s">
        <v>121</v>
      </c>
      <c r="F111" s="51">
        <f>C106</f>
        <v>3550000</v>
      </c>
    </row>
    <row r="112" spans="1:6" ht="12.75">
      <c r="A112" s="7" t="s">
        <v>123</v>
      </c>
      <c r="F112" s="51">
        <f>F110-F111</f>
        <v>3188873.5200000005</v>
      </c>
    </row>
    <row r="113" spans="1:6" ht="12.75">
      <c r="A113" s="7" t="s">
        <v>124</v>
      </c>
      <c r="F113" s="51">
        <f>F112*1.1</f>
        <v>3507760.872000001</v>
      </c>
    </row>
    <row r="114" spans="1:6" ht="12.75">
      <c r="A114" s="7" t="s">
        <v>126</v>
      </c>
      <c r="F114" s="51">
        <f>C85</f>
        <v>755545.3434799388</v>
      </c>
    </row>
    <row r="115" spans="1:6" ht="12.75">
      <c r="A115" s="1" t="s">
        <v>1</v>
      </c>
      <c r="F115" s="22">
        <f>F113+F114</f>
        <v>4263306.21547994</v>
      </c>
    </row>
    <row r="116" spans="1:6" ht="12.75">
      <c r="A116" s="7" t="s">
        <v>125</v>
      </c>
      <c r="F116" s="22">
        <v>4800000</v>
      </c>
    </row>
  </sheetData>
  <sheetProtection/>
  <printOptions horizontalCentered="1"/>
  <pageMargins left="0" right="0" top="0.7874015748031497" bottom="0" header="0.5118110236220472" footer="0.5118110236220472"/>
  <pageSetup horizontalDpi="600" verticalDpi="600" orientation="landscape" paperSize="8" r:id="rId1"/>
  <headerFooter alignWithMargins="0">
    <oddHeader>&amp;CDETAIL DES BESOINS GLOBAUX EN CP AVEC ACTUALISATION ET REVISION (EUROS TTC) NOVEMBRE 2012</oddHeader>
    <oddFooter>&amp;R&amp;7FA&amp;D - &amp;P sur &amp;N</oddFooter>
  </headerFooter>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4">
      <selection activeCell="D14" sqref="D14"/>
    </sheetView>
  </sheetViews>
  <sheetFormatPr defaultColWidth="11.421875" defaultRowHeight="12.75"/>
  <cols>
    <col min="1" max="1" width="49.57421875" style="7" customWidth="1"/>
    <col min="2" max="2" width="20.28125" style="7" customWidth="1"/>
    <col min="3" max="3" width="16.28125" style="7" customWidth="1"/>
    <col min="4" max="4" width="15.421875" style="7" customWidth="1"/>
    <col min="5" max="5" width="15.7109375" style="7" customWidth="1"/>
    <col min="6" max="6" width="17.00390625" style="7" customWidth="1"/>
    <col min="7" max="7" width="14.140625" style="7" customWidth="1"/>
    <col min="8" max="16384" width="11.421875" style="7" customWidth="1"/>
  </cols>
  <sheetData>
    <row r="1" spans="1:7" ht="13.5" thickBot="1">
      <c r="A1" s="41"/>
      <c r="B1" s="42" t="s">
        <v>108</v>
      </c>
      <c r="D1" s="43"/>
      <c r="E1" s="39"/>
      <c r="F1" s="39"/>
      <c r="G1" s="39"/>
    </row>
    <row r="2" spans="1:7" ht="12.75">
      <c r="A2" s="69"/>
      <c r="B2" s="47"/>
      <c r="D2" s="70"/>
      <c r="E2" s="70"/>
      <c r="F2" s="70"/>
      <c r="G2" s="70"/>
    </row>
    <row r="3" spans="1:7" ht="12.75">
      <c r="A3" s="69" t="s">
        <v>23</v>
      </c>
      <c r="B3" s="10">
        <v>100618000</v>
      </c>
      <c r="D3" s="67"/>
      <c r="E3" s="67"/>
      <c r="F3" s="67"/>
      <c r="G3" s="67"/>
    </row>
    <row r="4" spans="1:7" ht="12.75">
      <c r="A4" s="69" t="s">
        <v>24</v>
      </c>
      <c r="B4" s="10">
        <v>103000</v>
      </c>
      <c r="D4" s="67"/>
      <c r="E4" s="67"/>
      <c r="F4" s="67"/>
      <c r="G4" s="67"/>
    </row>
    <row r="5" spans="1:7" ht="12.75">
      <c r="A5" s="69" t="s">
        <v>25</v>
      </c>
      <c r="B5" s="10">
        <v>1695000</v>
      </c>
      <c r="D5" s="67"/>
      <c r="E5" s="67"/>
      <c r="F5" s="67"/>
      <c r="G5" s="67"/>
    </row>
    <row r="6" spans="1:7" ht="12.75">
      <c r="A6" s="69" t="s">
        <v>22</v>
      </c>
      <c r="B6" s="10">
        <v>167000</v>
      </c>
      <c r="D6" s="67"/>
      <c r="E6" s="67"/>
      <c r="F6" s="67"/>
      <c r="G6" s="67"/>
    </row>
    <row r="7" spans="1:7" ht="12.75">
      <c r="A7" s="69"/>
      <c r="B7" s="10"/>
      <c r="D7" s="67"/>
      <c r="E7" s="67"/>
      <c r="F7" s="67"/>
      <c r="G7" s="67"/>
    </row>
    <row r="8" spans="1:8" ht="12.75">
      <c r="A8" s="12" t="s">
        <v>26</v>
      </c>
      <c r="B8" s="13">
        <f>SUM(B3:B6)</f>
        <v>102583000</v>
      </c>
      <c r="D8" s="67"/>
      <c r="E8" s="67"/>
      <c r="F8" s="67"/>
      <c r="G8" s="67"/>
      <c r="H8" s="70"/>
    </row>
    <row r="9" spans="1:7" ht="12.75">
      <c r="A9" s="69"/>
      <c r="B9" s="10"/>
      <c r="D9" s="67"/>
      <c r="E9" s="67"/>
      <c r="F9" s="67"/>
      <c r="G9" s="67"/>
    </row>
    <row r="10" spans="1:7" ht="12.75">
      <c r="A10" s="69" t="s">
        <v>20</v>
      </c>
      <c r="B10" s="10">
        <v>11000000</v>
      </c>
      <c r="D10" s="67"/>
      <c r="E10" s="67"/>
      <c r="F10" s="67"/>
      <c r="G10" s="67"/>
    </row>
    <row r="11" spans="1:7" ht="12.75">
      <c r="A11" s="69"/>
      <c r="B11" s="10"/>
      <c r="D11" s="67"/>
      <c r="E11" s="67"/>
      <c r="F11" s="67"/>
      <c r="G11" s="67"/>
    </row>
    <row r="12" spans="1:7" ht="12.75">
      <c r="A12" s="69" t="s">
        <v>21</v>
      </c>
      <c r="B12" s="10">
        <v>6200000</v>
      </c>
      <c r="D12" s="67"/>
      <c r="E12" s="67"/>
      <c r="F12" s="67"/>
      <c r="G12" s="67"/>
    </row>
    <row r="13" spans="1:7" ht="12.75">
      <c r="A13" s="71"/>
      <c r="B13" s="10"/>
      <c r="D13" s="67"/>
      <c r="E13" s="67"/>
      <c r="F13" s="67"/>
      <c r="G13" s="67"/>
    </row>
    <row r="14" spans="1:7" ht="12.75">
      <c r="A14" s="11" t="s">
        <v>27</v>
      </c>
      <c r="B14" s="13">
        <f>B8+B10+B12</f>
        <v>119783000</v>
      </c>
      <c r="D14" s="67"/>
      <c r="E14" s="67"/>
      <c r="F14" s="67"/>
      <c r="G14" s="67"/>
    </row>
    <row r="15" spans="2:7" ht="12.75">
      <c r="B15" s="10"/>
      <c r="C15" s="52"/>
      <c r="D15" s="67"/>
      <c r="E15" s="67"/>
      <c r="F15" s="67"/>
      <c r="G15" s="67"/>
    </row>
    <row r="16" spans="1:7" ht="12.75">
      <c r="A16" s="40" t="s">
        <v>104</v>
      </c>
      <c r="B16" s="72"/>
      <c r="C16" s="70"/>
      <c r="D16" s="70"/>
      <c r="E16" s="70"/>
      <c r="F16" s="70"/>
      <c r="G16" s="70"/>
    </row>
    <row r="17" spans="1:7" ht="12.75">
      <c r="A17" s="40"/>
      <c r="B17" s="72"/>
      <c r="C17" s="70"/>
      <c r="D17" s="70"/>
      <c r="E17" s="70"/>
      <c r="F17" s="70"/>
      <c r="G17" s="70"/>
    </row>
    <row r="18" spans="1:7" ht="12.75">
      <c r="A18" s="40" t="s">
        <v>105</v>
      </c>
      <c r="B18" s="72"/>
      <c r="C18" s="70"/>
      <c r="D18" s="70"/>
      <c r="E18" s="70"/>
      <c r="F18" s="70"/>
      <c r="G18" s="70"/>
    </row>
    <row r="19" spans="1:7" ht="12.75">
      <c r="A19" s="69"/>
      <c r="B19" s="10"/>
      <c r="C19" s="73">
        <v>2011</v>
      </c>
      <c r="D19" s="73">
        <v>2012</v>
      </c>
      <c r="E19" s="73">
        <v>2013</v>
      </c>
      <c r="F19" s="74">
        <v>2014</v>
      </c>
      <c r="G19" s="74">
        <v>2015</v>
      </c>
    </row>
    <row r="20" spans="1:7" ht="41.25" customHeight="1">
      <c r="A20" s="36" t="s">
        <v>101</v>
      </c>
      <c r="B20" s="75"/>
      <c r="C20" s="47">
        <v>38.23</v>
      </c>
      <c r="D20" s="47">
        <v>43.36</v>
      </c>
      <c r="E20" s="47">
        <v>48.7</v>
      </c>
      <c r="F20" s="47">
        <v>54.24</v>
      </c>
      <c r="G20" s="47">
        <v>60.01</v>
      </c>
    </row>
    <row r="21" spans="1:2" ht="12.75">
      <c r="A21" s="69"/>
      <c r="B21" s="51"/>
    </row>
    <row r="22" spans="1:7" ht="25.5" customHeight="1">
      <c r="A22" s="88" t="s">
        <v>107</v>
      </c>
      <c r="B22" s="88"/>
      <c r="C22" s="88"/>
      <c r="D22" s="88"/>
      <c r="E22" s="88"/>
      <c r="F22" s="88"/>
      <c r="G22" s="88"/>
    </row>
    <row r="23" spans="1:2" ht="12.75">
      <c r="A23" s="76"/>
      <c r="B23" s="51"/>
    </row>
    <row r="24" spans="1:2" ht="12.75">
      <c r="A24" s="37" t="s">
        <v>103</v>
      </c>
      <c r="B24" s="51"/>
    </row>
    <row r="25" spans="1:6" ht="24.75" customHeight="1">
      <c r="A25" s="77"/>
      <c r="B25" s="38" t="s">
        <v>102</v>
      </c>
      <c r="C25" s="78" t="s">
        <v>14</v>
      </c>
      <c r="D25" s="78" t="s">
        <v>15</v>
      </c>
      <c r="E25" s="78" t="s">
        <v>16</v>
      </c>
      <c r="F25" s="38" t="s">
        <v>17</v>
      </c>
    </row>
    <row r="26" spans="1:6" ht="12.75">
      <c r="A26" s="77"/>
      <c r="B26" s="79"/>
      <c r="C26" s="47"/>
      <c r="D26" s="47"/>
      <c r="E26" s="47"/>
      <c r="F26" s="57"/>
    </row>
    <row r="27" spans="1:6" ht="12.75">
      <c r="A27" s="77" t="s">
        <v>18</v>
      </c>
      <c r="B27" s="80">
        <v>621.5</v>
      </c>
      <c r="C27" s="74">
        <v>802.6</v>
      </c>
      <c r="D27" s="74">
        <v>825.6</v>
      </c>
      <c r="E27" s="74">
        <v>855.6</v>
      </c>
      <c r="F27" s="81">
        <v>874</v>
      </c>
    </row>
    <row r="28" spans="1:6" ht="12.75">
      <c r="A28" s="77"/>
      <c r="B28" s="79"/>
      <c r="C28" s="47"/>
      <c r="D28" s="47"/>
      <c r="E28" s="47"/>
      <c r="F28" s="57"/>
    </row>
    <row r="29" spans="1:6" ht="12.75">
      <c r="A29" s="79" t="s">
        <v>19</v>
      </c>
      <c r="B29" s="79"/>
      <c r="C29" s="82">
        <f>C27/B27</f>
        <v>1.2913917940466613</v>
      </c>
      <c r="D29" s="82">
        <f>D27/B27</f>
        <v>1.3283990345937249</v>
      </c>
      <c r="E29" s="82">
        <f>E27/B27</f>
        <v>1.3766693483507644</v>
      </c>
      <c r="F29" s="83">
        <f>F27/B27</f>
        <v>1.406275140788415</v>
      </c>
    </row>
    <row r="31" ht="12.75">
      <c r="A31" s="1" t="s">
        <v>106</v>
      </c>
    </row>
    <row r="32" spans="1:6" ht="12.75">
      <c r="A32" s="7">
        <v>2003</v>
      </c>
      <c r="B32" s="7">
        <v>2004</v>
      </c>
      <c r="C32" s="7">
        <v>2005</v>
      </c>
      <c r="D32" s="7">
        <v>2006</v>
      </c>
      <c r="E32" s="7">
        <v>2007</v>
      </c>
      <c r="F32" s="7">
        <v>2008</v>
      </c>
    </row>
    <row r="34" spans="1:6" ht="12.75">
      <c r="A34" s="7">
        <f>1.04*1.04</f>
        <v>1.0816000000000001</v>
      </c>
      <c r="B34" s="84">
        <f>A34*1.04</f>
        <v>1.124864</v>
      </c>
      <c r="C34" s="84">
        <f>B34*1.04</f>
        <v>1.1698585600000002</v>
      </c>
      <c r="D34" s="84">
        <f>C34*1.04</f>
        <v>1.2166529024000003</v>
      </c>
      <c r="E34" s="84">
        <f>D34*1.04</f>
        <v>1.2653190184960004</v>
      </c>
      <c r="F34" s="84">
        <f>E34*1.04</f>
        <v>1.3159317792358405</v>
      </c>
    </row>
    <row r="36" spans="1:4" ht="12.75">
      <c r="A36" s="7">
        <v>2009</v>
      </c>
      <c r="B36" s="7">
        <v>2010</v>
      </c>
      <c r="C36" s="7">
        <v>2011</v>
      </c>
      <c r="D36" s="7">
        <v>2012</v>
      </c>
    </row>
    <row r="38" spans="1:4" ht="12.75">
      <c r="A38" s="84">
        <f>F34*1.04</f>
        <v>1.368569050405274</v>
      </c>
      <c r="B38" s="84">
        <f>A38*1.04</f>
        <v>1.4233118124214852</v>
      </c>
      <c r="C38" s="84">
        <f>B38*1.04</f>
        <v>1.4802442849183446</v>
      </c>
      <c r="D38" s="84">
        <f>C38*1.04</f>
        <v>1.5394540563150785</v>
      </c>
    </row>
  </sheetData>
  <sheetProtection/>
  <mergeCells count="1">
    <mergeCell ref="A22:G22"/>
  </mergeCells>
  <printOptions/>
  <pageMargins left="0.13" right="0.13" top="0.56" bottom="0.28" header="0.25" footer="0.3"/>
  <pageSetup horizontalDpi="600" verticalDpi="600" orientation="landscape" paperSize="9" r:id="rId1"/>
  <headerFooter alignWithMargins="0">
    <oddHeader>&amp;CMONTANT AFFECTE A LA PHASE 1 ET DONNEES RELATIVES A L'ACTUALISATION</oddHeader>
  </headerFooter>
</worksheet>
</file>

<file path=xl/worksheets/sheet3.xml><?xml version="1.0" encoding="utf-8"?>
<worksheet xmlns="http://schemas.openxmlformats.org/spreadsheetml/2006/main" xmlns:r="http://schemas.openxmlformats.org/officeDocument/2006/relationships">
  <dimension ref="A2:C17"/>
  <sheetViews>
    <sheetView zoomScalePageLayoutView="0" workbookViewId="0" topLeftCell="B1">
      <selection activeCell="E39" sqref="E39"/>
    </sheetView>
  </sheetViews>
  <sheetFormatPr defaultColWidth="11.421875" defaultRowHeight="12.75"/>
  <cols>
    <col min="1" max="1" width="144.421875" style="76" customWidth="1"/>
    <col min="2" max="2" width="18.57421875" style="51" customWidth="1"/>
    <col min="3" max="12" width="15.7109375" style="7" customWidth="1"/>
    <col min="13" max="16384" width="11.421875" style="7" customWidth="1"/>
  </cols>
  <sheetData>
    <row r="2" ht="12.75">
      <c r="A2" s="1" t="s">
        <v>109</v>
      </c>
    </row>
    <row r="3" ht="12.75">
      <c r="A3" s="37"/>
    </row>
    <row r="4" ht="17.25" customHeight="1">
      <c r="A4" s="76" t="s">
        <v>110</v>
      </c>
    </row>
    <row r="5" spans="1:3" ht="12.75">
      <c r="A5" s="76" t="s">
        <v>111</v>
      </c>
      <c r="C5" s="84"/>
    </row>
    <row r="6" ht="12.75">
      <c r="A6" s="76" t="s">
        <v>112</v>
      </c>
    </row>
    <row r="7" ht="12.75">
      <c r="A7" s="76" t="s">
        <v>119</v>
      </c>
    </row>
    <row r="8" ht="12.75">
      <c r="A8" s="76" t="s">
        <v>113</v>
      </c>
    </row>
    <row r="10" ht="12.75">
      <c r="A10" s="76" t="s">
        <v>116</v>
      </c>
    </row>
    <row r="11" ht="12.75">
      <c r="A11" s="76" t="s">
        <v>114</v>
      </c>
    </row>
    <row r="13" ht="25.5">
      <c r="A13" s="76" t="s">
        <v>115</v>
      </c>
    </row>
    <row r="15" ht="12.75">
      <c r="A15" s="76" t="s">
        <v>117</v>
      </c>
    </row>
    <row r="17" ht="25.5">
      <c r="A17" s="76" t="s">
        <v>118</v>
      </c>
    </row>
  </sheetData>
  <sheetProtection/>
  <printOptions horizontalCentered="1"/>
  <pageMargins left="0" right="0" top="0.7874015748031497" bottom="0" header="0.5118110236220472" footer="0.5118110236220472"/>
  <pageSetup horizontalDpi="600" verticalDpi="600" orientation="landscape" paperSize="8" r:id="rId1"/>
  <headerFooter alignWithMargins="0">
    <oddHeader>&amp;CCOMMENTAIRES SUR TABLEAUX NOVEMBRE 2012</oddHeader>
    <oddFooter>&amp;R&amp;7FA&amp;D - &amp;F - page &amp;P sur &amp;N</oddFooter>
  </headerFooter>
</worksheet>
</file>

<file path=xl/worksheets/sheet4.xml><?xml version="1.0" encoding="utf-8"?>
<worksheet xmlns="http://schemas.openxmlformats.org/spreadsheetml/2006/main" xmlns:r="http://schemas.openxmlformats.org/officeDocument/2006/relationships">
  <dimension ref="A2:D26"/>
  <sheetViews>
    <sheetView workbookViewId="0" topLeftCell="A1">
      <selection activeCell="B14" sqref="B14"/>
    </sheetView>
  </sheetViews>
  <sheetFormatPr defaultColWidth="11.421875" defaultRowHeight="12.75"/>
  <cols>
    <col min="1" max="1" width="53.28125" style="0" customWidth="1"/>
    <col min="2" max="2" width="15.7109375" style="0" customWidth="1"/>
    <col min="3" max="3" width="16.8515625" style="0" customWidth="1"/>
  </cols>
  <sheetData>
    <row r="2" ht="12.75">
      <c r="B2" s="87" t="s">
        <v>144</v>
      </c>
    </row>
    <row r="4" spans="1:4" ht="12.75">
      <c r="A4" t="s">
        <v>127</v>
      </c>
      <c r="B4" s="85">
        <v>89148071</v>
      </c>
      <c r="C4" s="89" t="s">
        <v>149</v>
      </c>
      <c r="D4" s="85"/>
    </row>
    <row r="5" spans="2:4" ht="12.75">
      <c r="B5" s="85"/>
      <c r="C5" s="89"/>
      <c r="D5" s="85"/>
    </row>
    <row r="6" spans="1:4" ht="12.75">
      <c r="A6" t="s">
        <v>130</v>
      </c>
      <c r="B6" s="85">
        <f>B4*0.1</f>
        <v>8914807.1</v>
      </c>
      <c r="C6" s="89" t="s">
        <v>149</v>
      </c>
      <c r="D6" s="85"/>
    </row>
    <row r="7" spans="2:4" ht="12.75">
      <c r="B7" s="85"/>
      <c r="C7" s="89"/>
      <c r="D7" s="85"/>
    </row>
    <row r="8" spans="1:4" ht="12.75">
      <c r="A8" t="s">
        <v>128</v>
      </c>
      <c r="B8" s="85">
        <v>5800000</v>
      </c>
      <c r="C8" s="89" t="s">
        <v>150</v>
      </c>
      <c r="D8" s="85"/>
    </row>
    <row r="9" spans="2:4" ht="12.75">
      <c r="B9" s="85"/>
      <c r="C9" s="89"/>
      <c r="D9" s="85"/>
    </row>
    <row r="10" spans="1:4" ht="12.75">
      <c r="A10" t="s">
        <v>143</v>
      </c>
      <c r="B10" s="85">
        <v>-580000</v>
      </c>
      <c r="C10" s="89"/>
      <c r="D10" s="85"/>
    </row>
    <row r="11" spans="2:4" ht="12.75">
      <c r="B11" s="85"/>
      <c r="C11" s="89"/>
      <c r="D11" s="85"/>
    </row>
    <row r="12" spans="1:4" ht="12.75">
      <c r="A12" t="s">
        <v>142</v>
      </c>
      <c r="B12" s="85">
        <f>498142*1.196</f>
        <v>595777.8319999999</v>
      </c>
      <c r="C12" s="89" t="s">
        <v>149</v>
      </c>
      <c r="D12" s="85"/>
    </row>
    <row r="13" spans="2:4" ht="12.75">
      <c r="B13" s="85"/>
      <c r="C13" s="89"/>
      <c r="D13" s="85"/>
    </row>
    <row r="14" spans="1:4" ht="12.75">
      <c r="A14" t="s">
        <v>129</v>
      </c>
      <c r="B14" s="85">
        <f>B6-B8-B10-B12</f>
        <v>3099029.2679999997</v>
      </c>
      <c r="C14" s="89" t="s">
        <v>149</v>
      </c>
      <c r="D14" s="85"/>
    </row>
    <row r="15" spans="2:4" ht="12.75">
      <c r="B15" s="85"/>
      <c r="C15" s="90"/>
      <c r="D15" s="85"/>
    </row>
    <row r="16" spans="1:4" ht="12.75">
      <c r="A16" t="s">
        <v>131</v>
      </c>
      <c r="B16" s="85">
        <f>86735919-(1872876+3550000)</f>
        <v>81313043</v>
      </c>
      <c r="C16" s="89" t="s">
        <v>149</v>
      </c>
      <c r="D16" s="85"/>
    </row>
    <row r="17" spans="2:4" ht="12.75">
      <c r="B17" s="85"/>
      <c r="C17" s="90"/>
      <c r="D17" s="85"/>
    </row>
    <row r="18" spans="1:4" ht="12.75">
      <c r="A18" t="s">
        <v>132</v>
      </c>
      <c r="B18" s="85">
        <f>B16*0.08</f>
        <v>6505043.44</v>
      </c>
      <c r="C18" s="89" t="s">
        <v>149</v>
      </c>
      <c r="D18" s="85"/>
    </row>
    <row r="19" spans="2:4" ht="12.75">
      <c r="B19" s="85"/>
      <c r="C19" s="90"/>
      <c r="D19" s="85"/>
    </row>
    <row r="20" spans="1:4" ht="12.75">
      <c r="A20" t="s">
        <v>145</v>
      </c>
      <c r="B20" s="85">
        <f>B18-B14</f>
        <v>3406014.1720000007</v>
      </c>
      <c r="C20" s="89" t="s">
        <v>149</v>
      </c>
      <c r="D20" s="85"/>
    </row>
    <row r="21" spans="2:4" ht="12.75">
      <c r="B21" s="85"/>
      <c r="C21" s="90"/>
      <c r="D21" s="85"/>
    </row>
    <row r="22" spans="1:4" ht="12.75">
      <c r="A22" t="s">
        <v>133</v>
      </c>
      <c r="B22" s="85">
        <f>B20*0.1</f>
        <v>340601.4172000001</v>
      </c>
      <c r="C22" s="90"/>
      <c r="D22" s="85"/>
    </row>
    <row r="23" spans="2:4" ht="12.75">
      <c r="B23" s="85"/>
      <c r="C23" s="90"/>
      <c r="D23" s="85"/>
    </row>
    <row r="24" spans="1:4" ht="12.75">
      <c r="A24" s="7" t="s">
        <v>134</v>
      </c>
      <c r="B24" s="29">
        <f>B20+B22</f>
        <v>3746615.5892000007</v>
      </c>
      <c r="C24" s="89" t="s">
        <v>150</v>
      </c>
      <c r="D24" s="85"/>
    </row>
    <row r="25" spans="2:4" ht="12.75">
      <c r="B25" s="85"/>
      <c r="C25" s="90"/>
      <c r="D25" s="85"/>
    </row>
    <row r="26" spans="1:4" ht="12.75">
      <c r="A26" s="1" t="s">
        <v>141</v>
      </c>
      <c r="B26" s="20">
        <v>3800000</v>
      </c>
      <c r="C26" s="89" t="s">
        <v>150</v>
      </c>
      <c r="D26" s="85"/>
    </row>
  </sheetData>
  <printOptions/>
  <pageMargins left="0.75" right="0.75" top="1" bottom="1" header="0.4921259845" footer="0.4921259845"/>
  <pageSetup horizontalDpi="600" verticalDpi="600" orientation="portrait" paperSize="9" r:id="rId1"/>
  <headerFooter alignWithMargins="0">
    <oddHeader>&amp;LFICHE DETAILLANT LE CALCUL RELATIF A LA RECONSTITUTION DE LA MARGE ALEAS</oddHeader>
  </headerFooter>
</worksheet>
</file>

<file path=xl/worksheets/sheet5.xml><?xml version="1.0" encoding="utf-8"?>
<worksheet xmlns="http://schemas.openxmlformats.org/spreadsheetml/2006/main" xmlns:r="http://schemas.openxmlformats.org/officeDocument/2006/relationships">
  <dimension ref="A3:E29"/>
  <sheetViews>
    <sheetView tabSelected="1" workbookViewId="0" topLeftCell="A1">
      <selection activeCell="A13" sqref="A13"/>
    </sheetView>
  </sheetViews>
  <sheetFormatPr defaultColWidth="11.421875" defaultRowHeight="12.75"/>
  <cols>
    <col min="1" max="1" width="117.7109375" style="0" customWidth="1"/>
    <col min="2" max="2" width="24.421875" style="0" customWidth="1"/>
    <col min="3" max="3" width="19.7109375" style="0" customWidth="1"/>
  </cols>
  <sheetData>
    <row r="3" ht="12.75">
      <c r="A3" t="s">
        <v>135</v>
      </c>
    </row>
    <row r="6" spans="1:5" ht="12.75">
      <c r="A6" s="7" t="s">
        <v>73</v>
      </c>
      <c r="B6" s="21">
        <f>875.1/621.5</f>
        <v>1.40804505229284</v>
      </c>
      <c r="C6" s="51"/>
      <c r="D6" s="51"/>
      <c r="E6" s="7"/>
    </row>
    <row r="7" spans="1:5" ht="12.75">
      <c r="A7" s="8" t="s">
        <v>80</v>
      </c>
      <c r="B7" s="30">
        <v>1.42</v>
      </c>
      <c r="D7" s="51"/>
      <c r="E7" s="7"/>
    </row>
    <row r="8" spans="1:5" ht="12.75">
      <c r="A8" s="8"/>
      <c r="B8" s="31" t="s">
        <v>81</v>
      </c>
      <c r="C8" s="31"/>
      <c r="D8" s="51"/>
      <c r="E8" s="7"/>
    </row>
    <row r="9" spans="1:5" ht="12.75">
      <c r="A9" s="8"/>
      <c r="B9" s="30"/>
      <c r="C9" s="31"/>
      <c r="D9" s="51"/>
      <c r="E9" s="7"/>
    </row>
    <row r="10" spans="1:5" ht="12.75">
      <c r="A10" s="8" t="s">
        <v>147</v>
      </c>
      <c r="B10" s="30"/>
      <c r="C10" s="31"/>
      <c r="D10" s="51"/>
      <c r="E10" s="7"/>
    </row>
    <row r="11" spans="1:5" ht="12.75">
      <c r="A11" s="8" t="s">
        <v>146</v>
      </c>
      <c r="B11" s="30"/>
      <c r="C11" s="31"/>
      <c r="D11" s="51"/>
      <c r="E11" s="7"/>
    </row>
    <row r="12" spans="1:5" ht="12.75">
      <c r="A12" s="8"/>
      <c r="B12" s="30"/>
      <c r="C12" s="31"/>
      <c r="D12" s="51"/>
      <c r="E12" s="7"/>
    </row>
    <row r="13" spans="1:5" ht="12.75">
      <c r="A13" s="7" t="s">
        <v>136</v>
      </c>
      <c r="B13" s="51"/>
      <c r="C13" s="51"/>
      <c r="D13" s="51"/>
      <c r="E13" s="7"/>
    </row>
    <row r="14" spans="1:5" ht="12.75">
      <c r="A14" s="7" t="s">
        <v>137</v>
      </c>
      <c r="B14" s="51"/>
      <c r="C14" s="51"/>
      <c r="D14" s="51"/>
      <c r="E14" s="7"/>
    </row>
    <row r="15" spans="1:5" ht="12.75">
      <c r="A15" s="7" t="s">
        <v>138</v>
      </c>
      <c r="B15" s="51"/>
      <c r="C15" s="51"/>
      <c r="D15" s="51"/>
      <c r="E15" s="7"/>
    </row>
    <row r="16" spans="1:5" ht="12.75">
      <c r="A16" s="7" t="s">
        <v>78</v>
      </c>
      <c r="B16" s="68">
        <f>883/830.6</f>
        <v>1.063086925114375</v>
      </c>
      <c r="C16" s="51"/>
      <c r="D16" s="51"/>
      <c r="E16" s="7"/>
    </row>
    <row r="17" spans="1:5" ht="12.75">
      <c r="A17" s="7"/>
      <c r="B17" s="68"/>
      <c r="C17" s="51"/>
      <c r="D17" s="51"/>
      <c r="E17" s="7"/>
    </row>
    <row r="18" spans="1:5" ht="12.75">
      <c r="A18" s="7" t="s">
        <v>148</v>
      </c>
      <c r="B18" s="29">
        <v>84249064</v>
      </c>
      <c r="C18" s="51"/>
      <c r="D18" s="51"/>
      <c r="E18" s="7"/>
    </row>
    <row r="19" spans="1:5" ht="12.75">
      <c r="A19" s="7"/>
      <c r="B19" s="51"/>
      <c r="C19" s="51"/>
      <c r="D19" s="51"/>
      <c r="E19" s="7"/>
    </row>
    <row r="20" spans="1:5" ht="12.75">
      <c r="A20" s="1" t="s">
        <v>139</v>
      </c>
      <c r="B20" s="86">
        <f>B18*0.063</f>
        <v>5307691.032</v>
      </c>
      <c r="C20" s="51"/>
      <c r="D20" s="51"/>
      <c r="E20" s="7"/>
    </row>
    <row r="21" spans="4:5" ht="12.75">
      <c r="D21" s="51"/>
      <c r="E21" s="7"/>
    </row>
    <row r="22" spans="1:5" ht="12.75">
      <c r="A22" t="s">
        <v>151</v>
      </c>
      <c r="B22" s="85">
        <v>6057546</v>
      </c>
      <c r="D22" s="51"/>
      <c r="E22" s="7"/>
    </row>
    <row r="23" spans="2:5" ht="12.75">
      <c r="B23" s="85"/>
      <c r="D23" s="51"/>
      <c r="E23" s="7"/>
    </row>
    <row r="24" spans="1:5" ht="12.75">
      <c r="A24" t="s">
        <v>140</v>
      </c>
      <c r="B24" s="85">
        <f>B22-B20</f>
        <v>749854.9680000003</v>
      </c>
      <c r="D24" s="51"/>
      <c r="E24" s="7"/>
    </row>
    <row r="25" spans="2:5" ht="12.75">
      <c r="B25" s="85"/>
      <c r="D25" s="51"/>
      <c r="E25" s="7"/>
    </row>
    <row r="26" spans="1:5" ht="12.75">
      <c r="A26" s="1" t="s">
        <v>141</v>
      </c>
      <c r="B26" s="20">
        <v>800000</v>
      </c>
      <c r="D26" s="51"/>
      <c r="E26" s="7"/>
    </row>
    <row r="27" spans="2:5" ht="12.75">
      <c r="B27" s="85"/>
      <c r="D27" s="51"/>
      <c r="E27" s="7"/>
    </row>
    <row r="28" spans="4:5" ht="12.75">
      <c r="D28" s="51"/>
      <c r="E28" s="7"/>
    </row>
    <row r="29" spans="1:5" ht="12.75">
      <c r="A29" s="7"/>
      <c r="B29" s="51"/>
      <c r="C29" s="51"/>
      <c r="D29" s="51"/>
      <c r="E29" s="7"/>
    </row>
  </sheetData>
  <printOptions/>
  <pageMargins left="0.2" right="0.2" top="1" bottom="1" header="0.4921259845" footer="0.4921259845"/>
  <pageSetup horizontalDpi="600" verticalDpi="600" orientation="landscape" paperSize="9" r:id="rId1"/>
  <headerFooter alignWithMargins="0">
    <oddHeader>&amp;LFICHE DETAILLANT LE CALCUL DU COMPLEMENT DE REVISION NECESSAIRE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e.arambel</dc:creator>
  <cp:keywords/>
  <dc:description/>
  <cp:lastModifiedBy>emoc</cp:lastModifiedBy>
  <cp:lastPrinted>2012-12-24T09:31:31Z</cp:lastPrinted>
  <dcterms:created xsi:type="dcterms:W3CDTF">2007-07-03T07:29:58Z</dcterms:created>
  <dcterms:modified xsi:type="dcterms:W3CDTF">2012-12-24T09:41:55Z</dcterms:modified>
  <cp:category/>
  <cp:version/>
  <cp:contentType/>
  <cp:contentStatus/>
</cp:coreProperties>
</file>